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570" windowHeight="7650" activeTab="0"/>
  </bookViews>
  <sheets>
    <sheet name="Charts" sheetId="1" r:id="rId1"/>
    <sheet name="Energy costs" sheetId="2" r:id="rId2"/>
    <sheet name="Storage costs" sheetId="3" r:id="rId3"/>
    <sheet name="Summary Data Centre" sheetId="4" r:id="rId4"/>
    <sheet name="Operating costs" sheetId="5" r:id="rId5"/>
    <sheet name="Connectivity" sheetId="6" r:id="rId6"/>
    <sheet name="Site costs" sheetId="7" r:id="rId7"/>
    <sheet name="Infrastructure" sheetId="8" r:id="rId8"/>
    <sheet name="IT costs" sheetId="9" r:id="rId9"/>
    <sheet name="Iceland study" sheetId="10" r:id="rId10"/>
  </sheets>
  <definedNames>
    <definedName name="_xlnm.Print_Area" localSheetId="0">'Charts'!$A$22:$L$92</definedName>
    <definedName name="_xlnm.Print_Area" localSheetId="3">'Summary Data Centre'!$A$1:$K$58</definedName>
    <definedName name="_xlnm.Print_Titles" localSheetId="3">'Summary Data Centre'!$14:$14</definedName>
  </definedNames>
  <calcPr fullCalcOnLoad="1"/>
</workbook>
</file>

<file path=xl/comments2.xml><?xml version="1.0" encoding="utf-8"?>
<comments xmlns="http://schemas.openxmlformats.org/spreadsheetml/2006/main">
  <authors>
    <author>Kati Svehla</author>
  </authors>
  <commentList>
    <comment ref="E11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since hydrogen was produced by wind, all the electricity used is wind based
</t>
        </r>
      </text>
    </comment>
    <comment ref="E20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Note: assuming that storage can be had for £6-7m not £50+m</t>
        </r>
      </text>
    </comment>
    <comment ref="H20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Note: assuming that storage can be had for £6-7m not £50+m</t>
        </r>
      </text>
    </comment>
    <comment ref="B27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assumption, discussed with small hydro project</t>
        </r>
      </text>
    </comment>
    <comment ref="F11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since hydrogen was produced by wind, all the electricity used is wind based
</t>
        </r>
      </text>
    </comment>
    <comment ref="F20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Note: assuming that storage can be had for £6-7m not £50+m</t>
        </r>
      </text>
    </comment>
  </commentList>
</comments>
</file>

<file path=xl/sharedStrings.xml><?xml version="1.0" encoding="utf-8"?>
<sst xmlns="http://schemas.openxmlformats.org/spreadsheetml/2006/main" count="790" uniqueCount="586">
  <si>
    <t>Data Centres Project</t>
  </si>
  <si>
    <t>Sources</t>
  </si>
  <si>
    <t>IT equipment</t>
  </si>
  <si>
    <t xml:space="preserve"> </t>
  </si>
  <si>
    <t>Fibre optic link</t>
  </si>
  <si>
    <t xml:space="preserve"> - purchase</t>
  </si>
  <si>
    <t xml:space="preserve"> - maintenance/replacement</t>
  </si>
  <si>
    <t>Cost Element</t>
  </si>
  <si>
    <t>Labour</t>
  </si>
  <si>
    <t>Cost</t>
  </si>
  <si>
    <t>Approach / Assumptions</t>
  </si>
  <si>
    <t>Datacentreknowledge.com</t>
  </si>
  <si>
    <t>PwC Iceland study 1997 - small DC</t>
  </si>
  <si>
    <t>lifetime: 3 years</t>
  </si>
  <si>
    <t>Need one 350 kW diesel generator as backup for each case</t>
  </si>
  <si>
    <t>Costs data</t>
  </si>
  <si>
    <t>Source: PwC Iceland study 2007</t>
  </si>
  <si>
    <t>Quotes:</t>
  </si>
  <si>
    <t>Gartner Group study 2006/07:  ratio of opex to capex costs for data centres</t>
  </si>
  <si>
    <t>carrying on current trends</t>
  </si>
  <si>
    <t>best case</t>
  </si>
  <si>
    <t>APC study on TCO:</t>
  </si>
  <si>
    <t>of which 20% is energy costs</t>
  </si>
  <si>
    <t>Iceland study</t>
  </si>
  <si>
    <t>Characteristics</t>
  </si>
  <si>
    <t>1£</t>
  </si>
  <si>
    <t>$</t>
  </si>
  <si>
    <t>Euros</t>
  </si>
  <si>
    <t>1 kBTU</t>
  </si>
  <si>
    <t>kWh</t>
  </si>
  <si>
    <t xml:space="preserve">Small Data centre </t>
  </si>
  <si>
    <t>m2</t>
  </si>
  <si>
    <t>From EPA report 2007 - energy use per server</t>
  </si>
  <si>
    <t>racks low density servers</t>
  </si>
  <si>
    <t>normal</t>
  </si>
  <si>
    <t>racks routing/ pathcing equipment</t>
  </si>
  <si>
    <t>high end</t>
  </si>
  <si>
    <t>racks high-density servers</t>
  </si>
  <si>
    <t>kWh per year for average server</t>
  </si>
  <si>
    <t xml:space="preserve">kW is the 'smeared average' server </t>
  </si>
  <si>
    <t>Average power / rack:</t>
  </si>
  <si>
    <t>kW</t>
  </si>
  <si>
    <t>BTU</t>
  </si>
  <si>
    <t xml:space="preserve">  = low density power</t>
  </si>
  <si>
    <t>Cost per server:</t>
  </si>
  <si>
    <t>Max diss'n</t>
  </si>
  <si>
    <t>kBTU</t>
  </si>
  <si>
    <t xml:space="preserve"> = twice actually needed = 4x IT?</t>
  </si>
  <si>
    <t>kVA genset</t>
  </si>
  <si>
    <t>persons to run the thing:</t>
  </si>
  <si>
    <t>3 ops, 2 back office, 1 mgr, 1 admin</t>
  </si>
  <si>
    <t>Infrastructure</t>
  </si>
  <si>
    <t>of which 20% pa recurring</t>
  </si>
  <si>
    <t>Newtork &amp; servers</t>
  </si>
  <si>
    <t>replaced after 3 yrs</t>
  </si>
  <si>
    <t>Annual power cost</t>
  </si>
  <si>
    <t>Iceland</t>
  </si>
  <si>
    <t>USA?</t>
  </si>
  <si>
    <t>Rent:</t>
  </si>
  <si>
    <t>pa</t>
  </si>
  <si>
    <t>IT costs estimate</t>
  </si>
  <si>
    <t>Seems very high</t>
  </si>
  <si>
    <t>Servers:</t>
  </si>
  <si>
    <t>Dell Power Edge R710</t>
  </si>
  <si>
    <t>medium</t>
  </si>
  <si>
    <t>Office hours support only</t>
  </si>
  <si>
    <t>Customer IT staff perform basic functions</t>
  </si>
  <si>
    <t>Single company,  centre running 1-2 servers per client, basic apps</t>
  </si>
  <si>
    <t>Low power requiremnets</t>
  </si>
  <si>
    <t>Med data centre</t>
  </si>
  <si>
    <t>Service to individual local companies as required</t>
  </si>
  <si>
    <t>Low value / backup service for intrenational clients</t>
  </si>
  <si>
    <t>Support &amp; ops mainly by data centre team</t>
  </si>
  <si>
    <t>5 ops, 5 back office, 2 mgrs, 2 admin</t>
  </si>
  <si>
    <t>£ per rack per month, UK, cheap northern areas</t>
  </si>
  <si>
    <t>Euro 61,500-115,000 per rack</t>
  </si>
  <si>
    <t>Total IT load</t>
  </si>
  <si>
    <t>average IT load</t>
  </si>
  <si>
    <t>BTU/s</t>
  </si>
  <si>
    <t xml:space="preserve">Network &amp; servers cost </t>
  </si>
  <si>
    <t>£k/kW</t>
  </si>
  <si>
    <t>Free cooling savings:</t>
  </si>
  <si>
    <t>low</t>
  </si>
  <si>
    <t>med</t>
  </si>
  <si>
    <t>Therefore, the Iceland study server nos are:</t>
  </si>
  <si>
    <t>£k low</t>
  </si>
  <si>
    <t>£k med</t>
  </si>
  <si>
    <t>Dell website
IBM website
HP website</t>
  </si>
  <si>
    <t>per kW</t>
  </si>
  <si>
    <t>each</t>
  </si>
  <si>
    <t>Brian Willshire - Summers Inman</t>
  </si>
  <si>
    <t>1 acre</t>
  </si>
  <si>
    <t>£ per annum</t>
  </si>
  <si>
    <t>per acre</t>
  </si>
  <si>
    <t>per m2</t>
  </si>
  <si>
    <t>total m2</t>
  </si>
  <si>
    <t>m wide</t>
  </si>
  <si>
    <t>m long</t>
  </si>
  <si>
    <t>Standby generator + fuel takes up that much space again</t>
  </si>
  <si>
    <t>Turning area for trucks etc</t>
  </si>
  <si>
    <t>Requires 20-30 yards around it for security fence</t>
  </si>
  <si>
    <t>Access/ turning etc in the security belt at front</t>
  </si>
  <si>
    <t xml:space="preserve">cf Eilean data centre - </t>
  </si>
  <si>
    <t>m per cm</t>
  </si>
  <si>
    <t>It  build area</t>
  </si>
  <si>
    <t>smaller office</t>
  </si>
  <si>
    <t>kitchen/WC/shower</t>
  </si>
  <si>
    <t>Security area</t>
  </si>
  <si>
    <t>Total of block</t>
  </si>
  <si>
    <t>see Eilean website / brochure</t>
  </si>
  <si>
    <t>cf rule of thumb for Iceland study</t>
  </si>
  <si>
    <t>Non-IT space per 50% ratio</t>
  </si>
  <si>
    <t>Non-IT space per 2.5m2 per rack IT</t>
  </si>
  <si>
    <t>Space per person</t>
  </si>
  <si>
    <t>m2 per person overall</t>
  </si>
  <si>
    <t>people</t>
  </si>
  <si>
    <t>Office space estimate</t>
  </si>
  <si>
    <t xml:space="preserve">New build basic office building, laid out to hide POD and generator
</t>
  </si>
  <si>
    <t>per m2 fitted out</t>
  </si>
  <si>
    <t>m2 per person</t>
  </si>
  <si>
    <t>persons</t>
  </si>
  <si>
    <t>Establish nearest access station (POP) and distance to data centre; requires 2</t>
  </si>
  <si>
    <t>Road crossings are expensive</t>
  </si>
  <si>
    <t>per km</t>
  </si>
  <si>
    <t>Single- mode fibre is £1 per m approx</t>
  </si>
  <si>
    <t>one-off cost, at each end of each of 2 connections - £5000 is a generous estimate</t>
  </si>
  <si>
    <t>per crossing</t>
  </si>
  <si>
    <t>m wide each</t>
  </si>
  <si>
    <t>m long each</t>
  </si>
  <si>
    <t>m2 per car</t>
  </si>
  <si>
    <t>cars</t>
  </si>
  <si>
    <t>m2 total</t>
  </si>
  <si>
    <t>All this can be within an area</t>
  </si>
  <si>
    <t>m</t>
  </si>
  <si>
    <t>wide</t>
  </si>
  <si>
    <t>long</t>
  </si>
  <si>
    <t>m2 required</t>
  </si>
  <si>
    <t>Look at range of server costs and power for manufacturers; estimate a typical cost per kW rated</t>
  </si>
  <si>
    <t>per m</t>
  </si>
  <si>
    <t>Transmission lines</t>
  </si>
  <si>
    <t xml:space="preserve"> - Wind + hydrogen</t>
  </si>
  <si>
    <t xml:space="preserve"> - Wind + biogas</t>
  </si>
  <si>
    <t xml:space="preserve"> - installation</t>
  </si>
  <si>
    <t>Small</t>
  </si>
  <si>
    <t>Med</t>
  </si>
  <si>
    <t>Large</t>
  </si>
  <si>
    <t>People</t>
  </si>
  <si>
    <t>Cost/person</t>
  </si>
  <si>
    <t>Can this be true?</t>
  </si>
  <si>
    <t>starting point</t>
  </si>
  <si>
    <t>Wage inflation for IT</t>
  </si>
  <si>
    <t>p per kWh</t>
  </si>
  <si>
    <t>scale</t>
  </si>
  <si>
    <t>Watts rated</t>
  </si>
  <si>
    <t>costs per kW</t>
  </si>
  <si>
    <t>Form fact</t>
  </si>
  <si>
    <t>2U</t>
  </si>
  <si>
    <t>Costs £</t>
  </si>
  <si>
    <t>Dell Power Edge R300</t>
  </si>
  <si>
    <t>1U</t>
  </si>
  <si>
    <t>high</t>
  </si>
  <si>
    <t>8 sideways</t>
  </si>
  <si>
    <t>Dell Blade M905 x8</t>
  </si>
  <si>
    <t>here I have assumed a price of £5000 for a M1000e power unit which serves 8 M905 servers</t>
  </si>
  <si>
    <t>HP Pro-Liant DL580</t>
  </si>
  <si>
    <t>4U</t>
  </si>
  <si>
    <t>not given - assumed power same as 1 Dell blade</t>
  </si>
  <si>
    <t>IBM x86 Enterprise server</t>
  </si>
  <si>
    <t>$10-$20k</t>
  </si>
  <si>
    <t>Use an average of £5000 per kW for now</t>
  </si>
  <si>
    <t>UK</t>
  </si>
  <si>
    <t>Services</t>
  </si>
  <si>
    <t>assume costs per km as for telecoms access</t>
  </si>
  <si>
    <t>Costs rel to S of Scotland</t>
  </si>
  <si>
    <t>Costs rel to California</t>
  </si>
  <si>
    <t>Paved area</t>
  </si>
  <si>
    <t>Same</t>
  </si>
  <si>
    <t>Less</t>
  </si>
  <si>
    <t>Much less</t>
  </si>
  <si>
    <t>More</t>
  </si>
  <si>
    <t xml:space="preserve"> - access (land)</t>
  </si>
  <si>
    <t>Annual labour cost</t>
  </si>
  <si>
    <t>USA</t>
  </si>
  <si>
    <t>India</t>
  </si>
  <si>
    <t>Small data centre</t>
  </si>
  <si>
    <t>Annual rental (land)</t>
  </si>
  <si>
    <t>Annual network/infrastr</t>
  </si>
  <si>
    <t>IT &amp; Infrastruture</t>
  </si>
  <si>
    <t>Energy</t>
  </si>
  <si>
    <t>Ours</t>
  </si>
  <si>
    <t>Annual cost</t>
  </si>
  <si>
    <t>Cost per rack per year</t>
  </si>
  <si>
    <t>Land + Gen Infrastructure</t>
  </si>
  <si>
    <t>Land cost per m2 per m</t>
  </si>
  <si>
    <t>Use press quoted costs for HP 20 ft POD; 15m2 in footprint</t>
  </si>
  <si>
    <t>2m deep, assume mainly in field by side of road - £50-60 per metre</t>
  </si>
  <si>
    <t>Comparisons</t>
  </si>
  <si>
    <t xml:space="preserve">000m2 </t>
  </si>
  <si>
    <t xml:space="preserve">cost per </t>
  </si>
  <si>
    <t xml:space="preserve">delivered </t>
  </si>
  <si>
    <t>Alternative: SUN MD20 Modular Data Centre, 25 kW/rack, 8 racks quoted cost is $559,000</t>
  </si>
  <si>
    <t>each, delivered</t>
  </si>
  <si>
    <t>required</t>
  </si>
  <si>
    <t>km</t>
  </si>
  <si>
    <t>no</t>
  </si>
  <si>
    <t>Cost per m laid as for fibre optic cable - trenched</t>
  </si>
  <si>
    <t>per year</t>
  </si>
  <si>
    <t>staff</t>
  </si>
  <si>
    <t>capital cost</t>
  </si>
  <si>
    <t>kWh per year</t>
  </si>
  <si>
    <t>100-500 kW</t>
  </si>
  <si>
    <t>to 500 kWe</t>
  </si>
  <si>
    <t>Wave + hydrogen</t>
  </si>
  <si>
    <t>Years operation</t>
  </si>
  <si>
    <t>Rating of storage kW</t>
  </si>
  <si>
    <t>Rating of primary energy kW</t>
  </si>
  <si>
    <t>Primary energy capital cost per kW (1)</t>
  </si>
  <si>
    <t>Annual maintenance/opex per kW  (1)</t>
  </si>
  <si>
    <t xml:space="preserve">Storage maintenance per kW  (1), </t>
  </si>
  <si>
    <t>Fuel usage te/yr  (calc)</t>
  </si>
  <si>
    <t>Fuel cost £/te   (2)</t>
  </si>
  <si>
    <t>Transmission distance km</t>
  </si>
  <si>
    <t>Total transmission costs</t>
  </si>
  <si>
    <t>Total annual fuel cost</t>
  </si>
  <si>
    <t>Total annual cost</t>
  </si>
  <si>
    <t>years</t>
  </si>
  <si>
    <t>energy used kWh per year</t>
  </si>
  <si>
    <t>kWh/yr</t>
  </si>
  <si>
    <t>Total cost per kWh consumed  p/kWh</t>
  </si>
  <si>
    <t xml:space="preserve">Source (3): Brian Willshire - Summers Inman
</t>
  </si>
  <si>
    <t>Access rights cost per km  (3)</t>
  </si>
  <si>
    <t>Power requirement</t>
  </si>
  <si>
    <t>Energy Options - Costs</t>
  </si>
  <si>
    <t xml:space="preserve"> Biomass CHP</t>
  </si>
  <si>
    <t xml:space="preserve"> Wind + hydrogen</t>
  </si>
  <si>
    <t xml:space="preserve"> Wind + biogas</t>
  </si>
  <si>
    <t>civils</t>
  </si>
  <si>
    <t>per kW total</t>
  </si>
  <si>
    <t>Soucre (1)</t>
  </si>
  <si>
    <t xml:space="preserve">Storage capital cost per kW </t>
  </si>
  <si>
    <t>Electroyser</t>
  </si>
  <si>
    <t>Fuel cells</t>
  </si>
  <si>
    <t>6.2 x 10m</t>
  </si>
  <si>
    <t>Parking for 12 cars</t>
  </si>
  <si>
    <t>Double for turning/access</t>
  </si>
  <si>
    <t xml:space="preserve"> 36m x 11m</t>
  </si>
  <si>
    <t>18 m x 16m</t>
  </si>
  <si>
    <t>Main block</t>
  </si>
  <si>
    <t>Access road</t>
  </si>
  <si>
    <t>3m anti-climb, anti-cut fencing; requires 25 m security belt round buildings</t>
  </si>
  <si>
    <t>Trenching</t>
  </si>
  <si>
    <t>Costs over 3 years:</t>
  </si>
  <si>
    <t>Transformers (2)</t>
  </si>
  <si>
    <t>Design of Feed-in Tariffs for Sub-5MW Electricity in Great Britain   Quantitative analysis for DECC</t>
  </si>
  <si>
    <t>Element Energy / Pyory  for Dept of Energy &amp; Climate Change</t>
  </si>
  <si>
    <t>URN 09D/704, July 2009</t>
  </si>
  <si>
    <t>Source (1): DECC 2009</t>
  </si>
  <si>
    <t>Feed-in Tariffs: Government’s Response to the Summer 2009 Consultation</t>
  </si>
  <si>
    <t>Dept of Energy &amp; Climate Change</t>
  </si>
  <si>
    <t>Source (6)  DECC 2010</t>
  </si>
  <si>
    <t>kWh used pa - primary</t>
  </si>
  <si>
    <t>kWh used pa - storage</t>
  </si>
  <si>
    <t>FITs available primary: (6)</t>
  </si>
  <si>
    <t>FITs available storage: (6)</t>
  </si>
  <si>
    <t>Total annual subsidy</t>
  </si>
  <si>
    <t>Total subsidy per kWh consumed  p/kWh</t>
  </si>
  <si>
    <t xml:space="preserve">PwC Iceland study - 20 racks of mainly LD servers estimated at Euros 2.8m </t>
  </si>
  <si>
    <t>million for</t>
  </si>
  <si>
    <t>servers</t>
  </si>
  <si>
    <t>Maunfacturers</t>
  </si>
  <si>
    <t>Data From:</t>
  </si>
  <si>
    <t xml:space="preserve"> assume replaced every 3 years</t>
  </si>
  <si>
    <t>Estimate a typical cost per kW rated from a range of manufacturers' sites</t>
  </si>
  <si>
    <t>Source:</t>
  </si>
  <si>
    <t>HP 20 ft POD; 15m2 in footprint; delievred cost from press reports</t>
  </si>
  <si>
    <t>Containerised Data Centre</t>
  </si>
  <si>
    <t>Fans</t>
  </si>
  <si>
    <t>fans at 1000cfm required</t>
  </si>
  <si>
    <t>spare</t>
  </si>
  <si>
    <t>http://www.canadianblower.com/axialfan/index.html</t>
  </si>
  <si>
    <t>Soucre</t>
  </si>
  <si>
    <t>total</t>
  </si>
  <si>
    <t>Data centre container</t>
  </si>
  <si>
    <t>at</t>
  </si>
  <si>
    <t xml:space="preserve">each </t>
  </si>
  <si>
    <t>Office</t>
  </si>
  <si>
    <t>Backup Generator</t>
  </si>
  <si>
    <t>Data Centre Infrastructure</t>
  </si>
  <si>
    <t>Web enquiry</t>
  </si>
  <si>
    <t xml:space="preserve">Caterpillar 350kW </t>
  </si>
  <si>
    <t>Cummins 350kW</t>
  </si>
  <si>
    <t>Use</t>
  </si>
  <si>
    <t>Backup generator</t>
  </si>
  <si>
    <t>Office &amp; Land Required</t>
  </si>
  <si>
    <t>1)</t>
  </si>
  <si>
    <t>2)</t>
  </si>
  <si>
    <t>3)</t>
  </si>
  <si>
    <t xml:space="preserve">Sources: </t>
  </si>
  <si>
    <t>4)</t>
  </si>
  <si>
    <t>Total</t>
  </si>
  <si>
    <t>C*r*(1+r)^n</t>
  </si>
  <si>
    <t>(1+r)^n-1</t>
  </si>
  <si>
    <t>Annual repayment</t>
  </si>
  <si>
    <t xml:space="preserve">Annual repayment = </t>
  </si>
  <si>
    <t xml:space="preserve">C = </t>
  </si>
  <si>
    <t xml:space="preserve">r = </t>
  </si>
  <si>
    <t>cost of capital</t>
  </si>
  <si>
    <t xml:space="preserve">unit </t>
  </si>
  <si>
    <t>n</t>
  </si>
  <si>
    <t>n =</t>
  </si>
  <si>
    <t>no of years</t>
  </si>
  <si>
    <t>Capital cost</t>
  </si>
  <si>
    <t>Primary energy capital cost total</t>
  </si>
  <si>
    <t>Annualised capital cost of primary energy</t>
  </si>
  <si>
    <t>Life of facility (years)</t>
  </si>
  <si>
    <t>Source (7)</t>
  </si>
  <si>
    <t>Cost Element Pelamis</t>
  </si>
  <si>
    <t>Value (million £)</t>
  </si>
  <si>
    <t xml:space="preserve">Onshore Transmission </t>
  </si>
  <si>
    <t>Subsea cables</t>
  </si>
  <si>
    <t xml:space="preserve">Pelams Power Conversion Modules </t>
  </si>
  <si>
    <t>Pelaimis Manufactured Steel Sections</t>
  </si>
  <si>
    <t>Pelamis Mooring Instalation</t>
  </si>
  <si>
    <t>Constrauction Mgmt &amp; Commissioning</t>
  </si>
  <si>
    <t>Total estimated cost for single unit (£m)</t>
  </si>
  <si>
    <t>£/kW</t>
  </si>
  <si>
    <t>Andres Pelamis approximation - check where from</t>
  </si>
  <si>
    <t>Storage capital cost total</t>
  </si>
  <si>
    <t>Annualised capital cost of storage</t>
  </si>
  <si>
    <t>Soucre (8)</t>
  </si>
  <si>
    <t>Source (8)</t>
  </si>
  <si>
    <t>Source (1)</t>
  </si>
  <si>
    <t>increase for civil works with dam - assumptions</t>
  </si>
  <si>
    <t>civils work adjusted</t>
  </si>
  <si>
    <t xml:space="preserve">say </t>
  </si>
  <si>
    <t>http://www.tropical.gr</t>
  </si>
  <si>
    <t>Electolyser</t>
  </si>
  <si>
    <t>Pounds</t>
  </si>
  <si>
    <t>Total cost (million £)</t>
  </si>
  <si>
    <t>assuming disc. For large order 10%</t>
  </si>
  <si>
    <t>30lt/m</t>
  </si>
  <si>
    <t>a)</t>
  </si>
  <si>
    <t>300lt/min</t>
  </si>
  <si>
    <t>b)</t>
  </si>
  <si>
    <t>a) 1200lt/min</t>
  </si>
  <si>
    <t>b) 1200lt/min</t>
  </si>
  <si>
    <t>TB-20KW Fuel Cells Power Generator</t>
  </si>
  <si>
    <t>18 Items</t>
  </si>
  <si>
    <t>1 KW</t>
  </si>
  <si>
    <t>5KW</t>
  </si>
  <si>
    <t>a) 20kW</t>
  </si>
  <si>
    <t>b) 20kW</t>
  </si>
  <si>
    <t xml:space="preserve"> Hydrogent Metal Hybrid Tank </t>
  </si>
  <si>
    <t>assuming disc for large order 25%</t>
  </si>
  <si>
    <t>60 ltr</t>
  </si>
  <si>
    <t>750ltr</t>
  </si>
  <si>
    <t>a) 15000 ltr</t>
  </si>
  <si>
    <t>b) 15000 ltr</t>
  </si>
  <si>
    <t xml:space="preserve">Total cost </t>
  </si>
  <si>
    <t>million £</t>
  </si>
  <si>
    <t>Scenario a)</t>
  </si>
  <si>
    <t>Scenario b)</t>
  </si>
  <si>
    <t>3) Biogas</t>
  </si>
  <si>
    <t>Source: National Non Food Crop Centre calculator</t>
  </si>
  <si>
    <t>For an AD system of the size calculated in Wind+ Biogas v0.2:</t>
  </si>
  <si>
    <t>£510,900-£1,038,800</t>
  </si>
  <si>
    <t>Annual labour</t>
  </si>
  <si>
    <t>Annual overheads</t>
  </si>
  <si>
    <t>Gate fee  - for £40-48/te landfill tax</t>
  </si>
  <si>
    <t>annual income</t>
  </si>
  <si>
    <t>Income from fertiliser sales</t>
  </si>
  <si>
    <t>Income from heat</t>
  </si>
  <si>
    <t>pa - don’t use as heat used in AD</t>
  </si>
  <si>
    <t>per te - assumption</t>
  </si>
  <si>
    <t>Annual maintenance total</t>
  </si>
  <si>
    <t>Storage maintenance total</t>
  </si>
  <si>
    <t>Total annual opex less revenues</t>
  </si>
  <si>
    <t>Source (9)</t>
  </si>
  <si>
    <t>Small hydro project - quote from supplier</t>
  </si>
  <si>
    <t>11 kV cable, cost per km</t>
  </si>
  <si>
    <t>33 kV cable, cost per kn</t>
  </si>
  <si>
    <t>transmission losses = 4kW/km</t>
  </si>
  <si>
    <t>transmission losses = 0.4kW/km</t>
  </si>
  <si>
    <t>sand bedding costs per km</t>
  </si>
  <si>
    <t>trenching costs per km</t>
  </si>
  <si>
    <t>£54-62k</t>
  </si>
  <si>
    <t>if short distance, use 11kV</t>
  </si>
  <si>
    <t>if long distance use 33 kV</t>
  </si>
  <si>
    <t>must be buried for availability reasons</t>
  </si>
  <si>
    <t>Lifetime years</t>
  </si>
  <si>
    <t>Annualised capital cost of transmission</t>
  </si>
  <si>
    <t>take upper limit</t>
  </si>
  <si>
    <t>te/year required, mixed slurry + food processing waste</t>
  </si>
  <si>
    <t>proportion of solids attrcting landfill tax</t>
  </si>
  <si>
    <t xml:space="preserve"> Net cost p/kWh</t>
  </si>
  <si>
    <t>per year as average cost of IT staff</t>
  </si>
  <si>
    <t>Assume that 3ops + 2 analysts are enough to run the POD between them</t>
  </si>
  <si>
    <t xml:space="preserve">ie rel. to PwC study, </t>
  </si>
  <si>
    <t>Number of people:</t>
  </si>
  <si>
    <t>operations</t>
  </si>
  <si>
    <t>analysts</t>
  </si>
  <si>
    <t>Total staff:</t>
  </si>
  <si>
    <t>management &amp; admin</t>
  </si>
  <si>
    <t>total staff</t>
  </si>
  <si>
    <t>Costs per head:</t>
  </si>
  <si>
    <t>PwC study</t>
  </si>
  <si>
    <t>People &amp; Services costs</t>
  </si>
  <si>
    <t>Services:</t>
  </si>
  <si>
    <t>PwC study says 20% of infrastructure costs are an annual cost</t>
  </si>
  <si>
    <t>of costs of:</t>
  </si>
  <si>
    <t>data centre</t>
  </si>
  <si>
    <t>fans</t>
  </si>
  <si>
    <t>fibre optic cable connections</t>
  </si>
  <si>
    <t xml:space="preserve">Based on PwC small dc but manager/admin roles done by ops staff; 3% wage inflation </t>
  </si>
  <si>
    <t>Based on PwC annual costs - % of data centre + comms connections capital cost</t>
  </si>
  <si>
    <t>Total site area &amp; perimeter</t>
  </si>
  <si>
    <t>5)</t>
  </si>
  <si>
    <t xml:space="preserve">m </t>
  </si>
  <si>
    <t xml:space="preserve">Land </t>
  </si>
  <si>
    <t>m2  area required</t>
  </si>
  <si>
    <t>Security fence</t>
  </si>
  <si>
    <t>m   long perimeter:</t>
  </si>
  <si>
    <t>(1)  PWC study</t>
  </si>
  <si>
    <t>Cost per m2 office, fully fitted out (2)</t>
  </si>
  <si>
    <t>(2) Brian Willshire - Summers Inman</t>
  </si>
  <si>
    <t>(3) Elean Data Centre website, layout drawings of first building</t>
  </si>
  <si>
    <t>(4) HP POD brochure</t>
  </si>
  <si>
    <t>HP 20 ft POD (4)</t>
  </si>
  <si>
    <t>Use Iceland study estimate (1)</t>
  </si>
  <si>
    <t>Cost (2):</t>
  </si>
  <si>
    <t>Cost (5)</t>
  </si>
  <si>
    <t>(5) Betafence OOM estimate for anti-intruder fence (suppliers to Sullom Voe terminal &amp; Faslane)</t>
  </si>
  <si>
    <t>estimate is for scubland at edge of town - utilities included</t>
  </si>
  <si>
    <t>estimate is for anti-intruder, andti-cut high security fencing installed by supplier</t>
  </si>
  <si>
    <t>Site</t>
  </si>
  <si>
    <t>Land purchase</t>
  </si>
  <si>
    <t>Undeveloped scrubland at edge of town - may have utilities/ brownfield</t>
  </si>
  <si>
    <t>Base slab</t>
  </si>
  <si>
    <t>Solid base needed for the work area, parking &amp; access - 300mm depth concrete slab, drainage, services</t>
  </si>
  <si>
    <t>Cost (2)</t>
  </si>
  <si>
    <t>300mm concrete slab</t>
  </si>
  <si>
    <t>Offices + visitor space + sorgae/ workroom + loos+ kitchen +corridor + security booth</t>
  </si>
  <si>
    <t xml:space="preserve">Office building: </t>
  </si>
  <si>
    <t>Connectivity costs</t>
  </si>
  <si>
    <t>Soucre (2)</t>
  </si>
  <si>
    <t>Establish distance to nearest Point of Presence for Fibre Optic link</t>
  </si>
  <si>
    <t>Two separate lines required - physically separate &amp; organistionally as well if possible</t>
  </si>
  <si>
    <t>Jim Mennie at Telecosse - unless otehrwise shown</t>
  </si>
  <si>
    <t>Soucre (3)</t>
  </si>
  <si>
    <t>Marvin Smith at Shetland Council</t>
  </si>
  <si>
    <t>In Shetland, Concil is building dual line from SHEFA to Lerwick (3)</t>
  </si>
  <si>
    <t>access (land)</t>
  </si>
  <si>
    <t>connection</t>
  </si>
  <si>
    <t>line 1</t>
  </si>
  <si>
    <t>line 2</t>
  </si>
  <si>
    <t xml:space="preserve">km </t>
  </si>
  <si>
    <t>cost</t>
  </si>
  <si>
    <t>needs 1m right of way, assume land cost 25% that for site</t>
  </si>
  <si>
    <t xml:space="preserve">cable </t>
  </si>
  <si>
    <t>cable trenching (2)</t>
  </si>
  <si>
    <t>Road crossings are expensive - assume 10 x value of normal run, over 10m</t>
  </si>
  <si>
    <t>1m right of way, land cost 25% that for site; two independent routes</t>
  </si>
  <si>
    <t>Access (land)</t>
  </si>
  <si>
    <t>Connection</t>
  </si>
  <si>
    <t>one-off cost, at each end of each of 2 connections</t>
  </si>
  <si>
    <t xml:space="preserve">Cable </t>
  </si>
  <si>
    <t xml:space="preserve">2m deep, assume mainly in field by side of road </t>
  </si>
  <si>
    <t>Road crossings</t>
  </si>
  <si>
    <t>road crossings</t>
  </si>
  <si>
    <t xml:space="preserve"> - Hydroelectric</t>
  </si>
  <si>
    <t xml:space="preserve"> - Tidal current + pumped st</t>
  </si>
  <si>
    <t>Tidal current + pumped st</t>
  </si>
  <si>
    <t xml:space="preserve"> Hydroelectric</t>
  </si>
  <si>
    <t xml:space="preserve"> - Biomass CHP</t>
  </si>
  <si>
    <t xml:space="preserve"> - Wave + hydrogen</t>
  </si>
  <si>
    <t>See page on Energy &amp; Storage costs for details</t>
  </si>
  <si>
    <t>kW data centre sues</t>
  </si>
  <si>
    <t>Subsidies  - effective FITs per data centre kWh</t>
  </si>
  <si>
    <t>(see Energy costs page)</t>
  </si>
  <si>
    <t>Total Cost</t>
  </si>
  <si>
    <t>Annual Operating Costs</t>
  </si>
  <si>
    <t>Annual Energy Costs</t>
  </si>
  <si>
    <t>IT Equipment</t>
  </si>
  <si>
    <t>Data centre infrastructure</t>
  </si>
  <si>
    <t>Operating costs</t>
  </si>
  <si>
    <t>Biomass CHP</t>
  </si>
  <si>
    <t>Tidal  + PS</t>
  </si>
  <si>
    <t>Hydro</t>
  </si>
  <si>
    <t>Wind + H2</t>
  </si>
  <si>
    <t>Wind + biogas</t>
  </si>
  <si>
    <t>Wave + H2</t>
  </si>
  <si>
    <t>Subsidies</t>
  </si>
  <si>
    <t>Net energy</t>
  </si>
  <si>
    <t>LOCATION</t>
  </si>
  <si>
    <t>NR LERWICK - wind+ biogas</t>
  </si>
  <si>
    <t>TOTAL</t>
  </si>
  <si>
    <t>Site cost or rent per m2 per month (office + IT)</t>
  </si>
  <si>
    <t>BUT PwC included services under infrastructure</t>
  </si>
  <si>
    <t>3-yr services</t>
  </si>
  <si>
    <t>Iceland small (UK version)</t>
  </si>
  <si>
    <t>Cost Assessment - Charts</t>
  </si>
  <si>
    <t>Cost Assessment - Summary</t>
  </si>
  <si>
    <t xml:space="preserve">Connectivity </t>
  </si>
  <si>
    <t>3-year costs for DC</t>
  </si>
  <si>
    <t>Hydroelec tricity</t>
  </si>
  <si>
    <t>cf PV at this level gets 29.3p subsidy</t>
  </si>
  <si>
    <t>IT capex</t>
  </si>
  <si>
    <t>Data centre capex</t>
  </si>
  <si>
    <t>Net energy costs</t>
  </si>
  <si>
    <t>Lerwick</t>
  </si>
  <si>
    <t>Net energy made up of:</t>
  </si>
  <si>
    <t>Energy w/o FITs</t>
  </si>
  <si>
    <t>million</t>
  </si>
  <si>
    <t>£/lit</t>
  </si>
  <si>
    <t>1200 l/min</t>
  </si>
  <si>
    <t>20kW</t>
  </si>
  <si>
    <t>Hydroelectric</t>
  </si>
  <si>
    <t>Wind + hydrogen</t>
  </si>
  <si>
    <t>Gross cost</t>
  </si>
  <si>
    <t>Effective subsidy</t>
  </si>
  <si>
    <t>Cost of storage per kWh consumed</t>
  </si>
  <si>
    <t xml:space="preserve">2) Hydrogen </t>
  </si>
  <si>
    <t xml:space="preserve">1) Pumped storage </t>
  </si>
  <si>
    <t>Costs for Energy Storage</t>
  </si>
  <si>
    <t>use the cost/l for special fabrication</t>
  </si>
  <si>
    <t xml:space="preserve">See quote </t>
  </si>
  <si>
    <t>http://fuelcellhub.com/</t>
  </si>
  <si>
    <t>1 x 5000 Nm3 metal hydride tank</t>
  </si>
  <si>
    <t>sing$</t>
  </si>
  <si>
    <t>cf quoted in  Robertson</t>
  </si>
  <si>
    <t>costs for 800m3 of compressed gas</t>
  </si>
  <si>
    <t>per 100m3 tank</t>
  </si>
  <si>
    <t>for compressed gas</t>
  </si>
  <si>
    <t>Compressed gas tanks</t>
  </si>
  <si>
    <t>100 m3</t>
  </si>
  <si>
    <t xml:space="preserve"> Wind + hydrogen (excess prodn)</t>
  </si>
  <si>
    <t>1.5-5MW</t>
  </si>
  <si>
    <t>500kW-1.5MW</t>
  </si>
  <si>
    <t>Balanced</t>
  </si>
  <si>
    <t>Excess production</t>
  </si>
  <si>
    <t>Wind + H2 xs</t>
  </si>
  <si>
    <t>Wind+H2 xs</t>
  </si>
  <si>
    <t xml:space="preserve"> - Wind + Hydrogen  xs</t>
  </si>
  <si>
    <t>p/kWh</t>
  </si>
  <si>
    <t>Connectivity (note - ensure correct distances in )</t>
  </si>
  <si>
    <t>3-year costs for data centre in Shetland</t>
  </si>
  <si>
    <t>Potential Locations for various options</t>
  </si>
  <si>
    <t>Energy Costs</t>
  </si>
  <si>
    <t>Net cost</t>
  </si>
  <si>
    <t>Wind + H2 excess prod</t>
  </si>
  <si>
    <t>Assumed locations:</t>
  </si>
  <si>
    <t>2-3 km from Lerwick</t>
  </si>
  <si>
    <t>Toft, nr Yell Sound: 46km from Lerwick</t>
  </si>
  <si>
    <t>Sandness, W coast of Mainland, 52km</t>
  </si>
  <si>
    <t>on A970, say 15 km from Lerwick</t>
  </si>
  <si>
    <t xml:space="preserve"> 2- 3</t>
  </si>
  <si>
    <t>links</t>
  </si>
  <si>
    <t xml:space="preserve"> 51+52</t>
  </si>
  <si>
    <t xml:space="preserve">  46 -46</t>
  </si>
  <si>
    <t>band (for FIT Quantitative Analysis)</t>
  </si>
  <si>
    <t>Source (2): see Biomass, high-reliability boiler; also, Balcas quotation for wood pellet delivery to Inverness area = £160/te</t>
  </si>
  <si>
    <t xml:space="preserve"> (4)</t>
  </si>
  <si>
    <t>(1)</t>
  </si>
  <si>
    <t xml:space="preserve">BHA database of small hydroelectric schemes, 2010 </t>
  </si>
  <si>
    <t>Average over 200-500kW range</t>
  </si>
  <si>
    <t>average over 100-500kW range</t>
  </si>
  <si>
    <t>per kWh</t>
  </si>
  <si>
    <t xml:space="preserve">National Non-Food Crop Centre Calculator </t>
  </si>
  <si>
    <t>http://www.nnfcc.co.uk/metadot/index.pl?id=7197&amp;isa=DBRow&amp;field_name=file&amp;op=download_file, accessed 17 April 2011</t>
  </si>
  <si>
    <t xml:space="preserve">Source (5):   </t>
  </si>
  <si>
    <t>Soucre (4) - Small-scale Hydro project</t>
  </si>
  <si>
    <t>cf: FITs Quant analysis doc has</t>
  </si>
  <si>
    <t>pr kWh</t>
  </si>
  <si>
    <t>for shoreline / LIMPET</t>
  </si>
  <si>
    <t>http://www.tropical.gr/site-en/index.php?option=com_frontpage&amp;Itemid=1</t>
  </si>
  <si>
    <t>Tropical SA</t>
  </si>
  <si>
    <t>accessed 15 April 2010</t>
  </si>
  <si>
    <t>see Storage page for details</t>
  </si>
  <si>
    <t xml:space="preserve"> (8)</t>
  </si>
  <si>
    <t xml:space="preserve"> (5)</t>
  </si>
  <si>
    <t>Cost per km of buried cable  (9)</t>
  </si>
  <si>
    <t>Annual revenues total (5)</t>
  </si>
  <si>
    <t>Take PwC study numbers and assume that: 1) manager + admin roles are rolled into ops &amp; analyst staff</t>
  </si>
  <si>
    <t xml:space="preserve">   2) less than 2 people per skills set is not robust on the long term</t>
  </si>
  <si>
    <t>total cost £3.7m</t>
  </si>
  <si>
    <t>covers: maintenance, services for electrical &amp; mechanical parts as well as external telecomms; replacement parts etc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</si>
</sst>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.00000"/>
    <numFmt numFmtId="166" formatCode="0.0000"/>
    <numFmt numFmtId="167" formatCode="0.000"/>
    <numFmt numFmtId="168" formatCode="0.0"/>
    <numFmt numFmtId="169" formatCode="[$$-409]#,##0"/>
    <numFmt numFmtId="170" formatCode="&quot;£&quot;#,##0.00"/>
    <numFmt numFmtId="171" formatCode="&quot;£&quot;#,##0.0"/>
    <numFmt numFmtId="172" formatCode="&quot;£&quot;#,##0"/>
    <numFmt numFmtId="173" formatCode="[$$-409]#,##0.00"/>
    <numFmt numFmtId="174" formatCode="[$$-409]#,##0.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£&quot;#,##0.0;[Red]\-&quot;£&quot;#,##0.0"/>
    <numFmt numFmtId="180" formatCode="#,##0\ [$€-408]"/>
    <numFmt numFmtId="181" formatCode="0.000000"/>
    <numFmt numFmtId="182" formatCode="&quot;£&quot;#,##0.000"/>
    <numFmt numFmtId="183" formatCode="0.00000000"/>
    <numFmt numFmtId="184" formatCode="0.000000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2"/>
      <name val="Arial"/>
      <family val="2"/>
    </font>
    <font>
      <sz val="19.25"/>
      <name val="Arial"/>
      <family val="0"/>
    </font>
    <font>
      <sz val="14.25"/>
      <name val="Arial"/>
      <family val="2"/>
    </font>
    <font>
      <sz val="13"/>
      <name val="Arial"/>
      <family val="2"/>
    </font>
    <font>
      <sz val="13.5"/>
      <name val="Arial"/>
      <family val="2"/>
    </font>
    <font>
      <b/>
      <sz val="22.25"/>
      <name val="Arial"/>
      <family val="0"/>
    </font>
    <font>
      <b/>
      <sz val="20.75"/>
      <name val="Arial"/>
      <family val="0"/>
    </font>
    <font>
      <sz val="16"/>
      <color indexed="8"/>
      <name val="Arial"/>
      <family val="0"/>
    </font>
    <font>
      <sz val="18"/>
      <color indexed="8"/>
      <name val="Calibri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172" fontId="0" fillId="0" borderId="0" xfId="0" applyNumberFormat="1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172" fontId="0" fillId="0" borderId="2" xfId="0" applyNumberFormat="1" applyBorder="1" applyAlignment="1">
      <alignment horizontal="right" vertical="top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Border="1" applyAlignment="1">
      <alignment horizontal="right" vertical="top"/>
    </xf>
    <xf numFmtId="0" fontId="0" fillId="3" borderId="11" xfId="0" applyFill="1" applyBorder="1" applyAlignment="1">
      <alignment/>
    </xf>
    <xf numFmtId="172" fontId="0" fillId="3" borderId="4" xfId="0" applyNumberForma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right" vertical="top" wrapText="1"/>
    </xf>
    <xf numFmtId="172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/>
    </xf>
    <xf numFmtId="172" fontId="0" fillId="3" borderId="0" xfId="0" applyNumberFormat="1" applyFill="1" applyBorder="1" applyAlignment="1">
      <alignment/>
    </xf>
    <xf numFmtId="9" fontId="0" fillId="3" borderId="1" xfId="21" applyFill="1" applyBorder="1" applyAlignment="1">
      <alignment/>
    </xf>
    <xf numFmtId="9" fontId="0" fillId="3" borderId="2" xfId="21" applyFill="1" applyBorder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71" fontId="0" fillId="0" borderId="0" xfId="0" applyNumberFormat="1" applyBorder="1" applyAlignment="1">
      <alignment horizontal="right" vertical="top"/>
    </xf>
    <xf numFmtId="172" fontId="0" fillId="0" borderId="6" xfId="0" applyNumberFormat="1" applyBorder="1" applyAlignment="1">
      <alignment horizontal="right" vertical="top"/>
    </xf>
    <xf numFmtId="6" fontId="0" fillId="0" borderId="2" xfId="0" applyNumberFormat="1" applyBorder="1" applyAlignment="1">
      <alignment horizontal="right" vertical="top"/>
    </xf>
    <xf numFmtId="172" fontId="0" fillId="0" borderId="0" xfId="0" applyNumberFormat="1" applyFont="1" applyBorder="1" applyAlignment="1">
      <alignment horizontal="right" vertical="top"/>
    </xf>
    <xf numFmtId="9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172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173" fontId="0" fillId="0" borderId="6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left"/>
    </xf>
    <xf numFmtId="172" fontId="0" fillId="0" borderId="0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172" fontId="0" fillId="0" borderId="0" xfId="0" applyNumberFormat="1" applyFont="1" applyBorder="1" applyAlignment="1">
      <alignment horizontal="left" vertical="top"/>
    </xf>
    <xf numFmtId="172" fontId="0" fillId="0" borderId="0" xfId="0" applyNumberFormat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17" fontId="5" fillId="0" borderId="0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70" fontId="0" fillId="0" borderId="0" xfId="0" applyNumberFormat="1" applyAlignment="1">
      <alignment horizontal="left" vertical="top"/>
    </xf>
    <xf numFmtId="0" fontId="0" fillId="4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right"/>
    </xf>
    <xf numFmtId="168" fontId="0" fillId="0" borderId="5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horizontal="right" vertical="top"/>
    </xf>
    <xf numFmtId="0" fontId="0" fillId="5" borderId="1" xfId="0" applyFill="1" applyBorder="1" applyAlignment="1">
      <alignment horizontal="right" vertical="top"/>
    </xf>
    <xf numFmtId="0" fontId="0" fillId="5" borderId="6" xfId="0" applyFill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172" fontId="0" fillId="5" borderId="0" xfId="0" applyNumberFormat="1" applyFill="1" applyBorder="1" applyAlignment="1">
      <alignment horizontal="right" vertical="top"/>
    </xf>
    <xf numFmtId="0" fontId="0" fillId="5" borderId="0" xfId="0" applyFill="1" applyBorder="1" applyAlignment="1">
      <alignment horizontal="left" vertical="top" wrapText="1"/>
    </xf>
    <xf numFmtId="172" fontId="0" fillId="5" borderId="2" xfId="0" applyNumberFormat="1" applyFill="1" applyBorder="1" applyAlignment="1">
      <alignment horizontal="right" vertical="top"/>
    </xf>
    <xf numFmtId="0" fontId="0" fillId="5" borderId="0" xfId="0" applyFill="1" applyAlignment="1">
      <alignment horizontal="right" vertical="top"/>
    </xf>
    <xf numFmtId="0" fontId="0" fillId="5" borderId="0" xfId="0" applyFill="1" applyBorder="1" applyAlignment="1">
      <alignment horizontal="right" vertical="top"/>
    </xf>
    <xf numFmtId="0" fontId="0" fillId="5" borderId="2" xfId="0" applyFill="1" applyBorder="1" applyAlignment="1">
      <alignment horizontal="right" vertical="top"/>
    </xf>
    <xf numFmtId="0" fontId="0" fillId="5" borderId="7" xfId="0" applyFill="1" applyBorder="1" applyAlignment="1">
      <alignment vertical="top"/>
    </xf>
    <xf numFmtId="0" fontId="0" fillId="5" borderId="5" xfId="0" applyFill="1" applyBorder="1" applyAlignment="1">
      <alignment horizontal="right" vertical="top"/>
    </xf>
    <xf numFmtId="0" fontId="0" fillId="5" borderId="3" xfId="0" applyFill="1" applyBorder="1" applyAlignment="1">
      <alignment horizontal="right" vertical="top"/>
    </xf>
    <xf numFmtId="169" fontId="0" fillId="0" borderId="0" xfId="0" applyNumberFormat="1" applyBorder="1" applyAlignment="1">
      <alignment horizontal="right" vertical="top"/>
    </xf>
    <xf numFmtId="0" fontId="0" fillId="5" borderId="0" xfId="0" applyFill="1" applyBorder="1" applyAlignment="1">
      <alignment/>
    </xf>
    <xf numFmtId="169" fontId="0" fillId="5" borderId="0" xfId="0" applyNumberFormat="1" applyFill="1" applyBorder="1" applyAlignment="1">
      <alignment horizontal="right" vertical="top"/>
    </xf>
    <xf numFmtId="0" fontId="8" fillId="0" borderId="0" xfId="20" applyAlignment="1">
      <alignment/>
    </xf>
    <xf numFmtId="0" fontId="0" fillId="0" borderId="6" xfId="0" applyBorder="1" applyAlignment="1">
      <alignment horizontal="left" vertical="top"/>
    </xf>
    <xf numFmtId="0" fontId="0" fillId="5" borderId="0" xfId="0" applyFill="1" applyAlignment="1">
      <alignment/>
    </xf>
    <xf numFmtId="169" fontId="0" fillId="5" borderId="0" xfId="0" applyNumberFormat="1" applyFill="1" applyAlignment="1">
      <alignment/>
    </xf>
    <xf numFmtId="0" fontId="0" fillId="6" borderId="0" xfId="0" applyFill="1" applyAlignment="1">
      <alignment/>
    </xf>
    <xf numFmtId="172" fontId="0" fillId="6" borderId="0" xfId="0" applyNumberFormat="1" applyFill="1" applyBorder="1" applyAlignment="1">
      <alignment/>
    </xf>
    <xf numFmtId="172" fontId="0" fillId="6" borderId="0" xfId="0" applyNumberFormat="1" applyFill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5" borderId="2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72" fontId="0" fillId="5" borderId="0" xfId="0" applyNumberFormat="1" applyFill="1" applyAlignment="1">
      <alignment/>
    </xf>
    <xf numFmtId="0" fontId="0" fillId="0" borderId="4" xfId="0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0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8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2" xfId="0" applyNumberFormat="1" applyBorder="1" applyAlignment="1">
      <alignment/>
    </xf>
    <xf numFmtId="8" fontId="0" fillId="0" borderId="3" xfId="0" applyNumberFormat="1" applyBorder="1" applyAlignment="1">
      <alignment/>
    </xf>
    <xf numFmtId="6" fontId="0" fillId="0" borderId="12" xfId="0" applyNumberFormat="1" applyBorder="1" applyAlignment="1">
      <alignment/>
    </xf>
    <xf numFmtId="9" fontId="0" fillId="5" borderId="0" xfId="0" applyNumberFormat="1" applyFill="1" applyAlignment="1">
      <alignment/>
    </xf>
    <xf numFmtId="0" fontId="8" fillId="0" borderId="0" xfId="20" applyAlignment="1" applyProtection="1">
      <alignment/>
      <protection/>
    </xf>
    <xf numFmtId="0" fontId="0" fillId="7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8" borderId="1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5" xfId="0" applyFill="1" applyBorder="1" applyAlignment="1">
      <alignment/>
    </xf>
    <xf numFmtId="0" fontId="10" fillId="8" borderId="15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8" borderId="15" xfId="0" applyFill="1" applyBorder="1" applyAlignment="1">
      <alignment/>
    </xf>
    <xf numFmtId="0" fontId="0" fillId="9" borderId="15" xfId="0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2" fontId="0" fillId="7" borderId="15" xfId="0" applyNumberFormat="1" applyFill="1" applyBorder="1" applyAlignment="1">
      <alignment horizontal="center"/>
    </xf>
    <xf numFmtId="172" fontId="0" fillId="8" borderId="15" xfId="0" applyNumberFormat="1" applyFill="1" applyBorder="1" applyAlignment="1">
      <alignment/>
    </xf>
    <xf numFmtId="172" fontId="0" fillId="9" borderId="15" xfId="0" applyNumberFormat="1" applyFill="1" applyBorder="1" applyAlignment="1">
      <alignment/>
    </xf>
    <xf numFmtId="180" fontId="0" fillId="8" borderId="15" xfId="0" applyNumberFormat="1" applyFill="1" applyBorder="1" applyAlignment="1">
      <alignment/>
    </xf>
    <xf numFmtId="180" fontId="0" fillId="9" borderId="15" xfId="0" applyNumberFormat="1" applyFill="1" applyBorder="1" applyAlignment="1">
      <alignment/>
    </xf>
    <xf numFmtId="6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172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1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6" fontId="0" fillId="5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 wrapText="1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 wrapText="1"/>
    </xf>
    <xf numFmtId="0" fontId="0" fillId="6" borderId="0" xfId="0" applyFill="1" applyBorder="1" applyAlignment="1">
      <alignment horizontal="right" vertical="top"/>
    </xf>
    <xf numFmtId="0" fontId="0" fillId="6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/>
    </xf>
    <xf numFmtId="172" fontId="0" fillId="6" borderId="0" xfId="0" applyNumberForma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72" fontId="0" fillId="5" borderId="0" xfId="0" applyNumberFormat="1" applyFont="1" applyFill="1" applyBorder="1" applyAlignment="1">
      <alignment horizontal="right" vertical="top"/>
    </xf>
    <xf numFmtId="172" fontId="0" fillId="6" borderId="0" xfId="0" applyNumberFormat="1" applyFont="1" applyFill="1" applyBorder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2" fontId="0" fillId="0" borderId="0" xfId="0" applyNumberFormat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172" fontId="0" fillId="0" borderId="0" xfId="0" applyNumberFormat="1" applyAlignment="1">
      <alignment vertical="top"/>
    </xf>
    <xf numFmtId="0" fontId="2" fillId="5" borderId="0" xfId="0" applyFont="1" applyFill="1" applyBorder="1" applyAlignment="1">
      <alignment horizontal="right" vertical="top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72" fontId="0" fillId="0" borderId="6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172" fontId="0" fillId="0" borderId="2" xfId="0" applyNumberFormat="1" applyBorder="1" applyAlignment="1">
      <alignment vertical="top"/>
    </xf>
    <xf numFmtId="172" fontId="0" fillId="0" borderId="7" xfId="0" applyNumberFormat="1" applyBorder="1" applyAlignment="1">
      <alignment vertical="top"/>
    </xf>
    <xf numFmtId="172" fontId="0" fillId="0" borderId="5" xfId="0" applyNumberFormat="1" applyBorder="1" applyAlignment="1">
      <alignment vertical="top"/>
    </xf>
    <xf numFmtId="172" fontId="0" fillId="0" borderId="3" xfId="0" applyNumberForma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9" fontId="0" fillId="0" borderId="0" xfId="21" applyAlignment="1">
      <alignment horizontal="right" vertical="top"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7" borderId="9" xfId="0" applyFill="1" applyBorder="1" applyAlignment="1">
      <alignment horizontal="center"/>
    </xf>
    <xf numFmtId="166" fontId="0" fillId="0" borderId="15" xfId="0" applyNumberFormat="1" applyBorder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8" borderId="15" xfId="0" applyNumberFormat="1" applyFill="1" applyBorder="1" applyAlignment="1">
      <alignment/>
    </xf>
    <xf numFmtId="171" fontId="0" fillId="9" borderId="15" xfId="0" applyNumberFormat="1" applyFill="1" applyBorder="1" applyAlignment="1">
      <alignment/>
    </xf>
    <xf numFmtId="172" fontId="0" fillId="5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35"/>
          <c:y val="0.416"/>
          <c:w val="0.41275"/>
          <c:h val="0.24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Charts!$A$94:$A$97</c:f>
              <c:strCache/>
            </c:strRef>
          </c:cat>
          <c:val>
            <c:numRef>
              <c:f>Charts!$G$94:$G$97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Data centre in Shetland - 3 year net costs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Charts!$A$5</c:f>
              <c:strCache>
                <c:ptCount val="1"/>
                <c:pt idx="0">
                  <c:v>IT Equipment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Charts!$B$5:$G$5</c:f>
              <c:numCache/>
            </c:numRef>
          </c:val>
          <c:shape val="box"/>
        </c:ser>
        <c:ser>
          <c:idx val="1"/>
          <c:order val="1"/>
          <c:tx>
            <c:strRef>
              <c:f>Charts!$A$6</c:f>
              <c:strCache>
                <c:ptCount val="1"/>
                <c:pt idx="0">
                  <c:v>Data centre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Charts!$B$6:$G$6</c:f>
              <c:numCache/>
            </c:numRef>
          </c:val>
          <c:shape val="box"/>
        </c:ser>
        <c:ser>
          <c:idx val="2"/>
          <c:order val="2"/>
          <c:tx>
            <c:strRef>
              <c:f>Charts!$A$7</c:f>
              <c:strCache>
                <c:ptCount val="1"/>
                <c:pt idx="0">
                  <c:v>Site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Charts!$B$7:$G$7</c:f>
              <c:numCache/>
            </c:numRef>
          </c:val>
          <c:shape val="box"/>
        </c:ser>
        <c:ser>
          <c:idx val="3"/>
          <c:order val="3"/>
          <c:tx>
            <c:strRef>
              <c:f>Charts!$A$8</c:f>
              <c:strCache>
                <c:ptCount val="1"/>
                <c:pt idx="0">
                  <c:v>Connectivity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Charts!$B$8:$G$8</c:f>
              <c:numCache/>
            </c:numRef>
          </c:val>
          <c:shape val="box"/>
        </c:ser>
        <c:ser>
          <c:idx val="4"/>
          <c:order val="4"/>
          <c:tx>
            <c:strRef>
              <c:f>Charts!$A$9</c:f>
              <c:strCache>
                <c:ptCount val="1"/>
                <c:pt idx="0">
                  <c:v>Operating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Charts!$B$9:$G$9</c:f>
              <c:numCache/>
            </c:numRef>
          </c:val>
          <c:shape val="box"/>
        </c:ser>
        <c:ser>
          <c:idx val="5"/>
          <c:order val="5"/>
          <c:tx>
            <c:strRef>
              <c:f>Charts!$A$10</c:f>
              <c:strCache>
                <c:ptCount val="1"/>
                <c:pt idx="0">
                  <c:v>Net energy costs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Charts!$B$10:$G$10</c:f>
              <c:numCache/>
            </c:numRef>
          </c:val>
          <c:shape val="box"/>
        </c:ser>
        <c:overlap val="100"/>
        <c:shape val="box"/>
        <c:axId val="66764901"/>
        <c:axId val="40623714"/>
      </c:bar3DChart>
      <c:catAx>
        <c:axId val="6676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0623714"/>
        <c:crosses val="autoZero"/>
        <c:auto val="1"/>
        <c:lblOffset val="100"/>
        <c:tickLblSkip val="1"/>
        <c:noMultiLvlLbl val="0"/>
      </c:catAx>
      <c:valAx>
        <c:axId val="40623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6764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Data Centre in Shetland - 3-yr gross costs</a:t>
            </a:r>
          </a:p>
        </c:rich>
      </c:tx>
      <c:layout>
        <c:manualLayout>
          <c:xMode val="factor"/>
          <c:yMode val="factor"/>
          <c:x val="0.00125"/>
          <c:y val="0.01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5175"/>
          <c:w val="0.75475"/>
          <c:h val="0.84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Charts!$A$5</c:f>
              <c:strCache>
                <c:ptCount val="1"/>
                <c:pt idx="0">
                  <c:v>IT Equipment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Charts!$B$5:$G$5</c:f>
              <c:numCache/>
            </c:numRef>
          </c:val>
          <c:shape val="box"/>
        </c:ser>
        <c:ser>
          <c:idx val="1"/>
          <c:order val="1"/>
          <c:tx>
            <c:strRef>
              <c:f>Charts!$A$6</c:f>
              <c:strCache>
                <c:ptCount val="1"/>
                <c:pt idx="0">
                  <c:v>Data centre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Charts!$B$6:$G$6</c:f>
              <c:numCache/>
            </c:numRef>
          </c:val>
          <c:shape val="box"/>
        </c:ser>
        <c:ser>
          <c:idx val="2"/>
          <c:order val="2"/>
          <c:tx>
            <c:strRef>
              <c:f>Charts!$A$7</c:f>
              <c:strCache>
                <c:ptCount val="1"/>
                <c:pt idx="0">
                  <c:v>Site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Charts!$B$7:$G$7</c:f>
              <c:numCache/>
            </c:numRef>
          </c:val>
          <c:shape val="box"/>
        </c:ser>
        <c:ser>
          <c:idx val="3"/>
          <c:order val="3"/>
          <c:tx>
            <c:strRef>
              <c:f>Charts!$A$8</c:f>
              <c:strCache>
                <c:ptCount val="1"/>
                <c:pt idx="0">
                  <c:v>Connectivity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Charts!$B$8:$G$8</c:f>
              <c:numCache/>
            </c:numRef>
          </c:val>
          <c:shape val="box"/>
        </c:ser>
        <c:ser>
          <c:idx val="4"/>
          <c:order val="4"/>
          <c:tx>
            <c:strRef>
              <c:f>Charts!$A$9</c:f>
              <c:strCache>
                <c:ptCount val="1"/>
                <c:pt idx="0">
                  <c:v>Operating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Charts!$B$9:$G$9</c:f>
              <c:numCache>
                <c:ptCount val="6"/>
                <c:pt idx="0">
                  <c:v>922095.7727873183</c:v>
                </c:pt>
                <c:pt idx="1">
                  <c:v>922095.7727873183</c:v>
                </c:pt>
                <c:pt idx="2">
                  <c:v>922095.7727873183</c:v>
                </c:pt>
                <c:pt idx="3">
                  <c:v>922095.7727873183</c:v>
                </c:pt>
                <c:pt idx="4">
                  <c:v>922095.7727873183</c:v>
                </c:pt>
                <c:pt idx="5">
                  <c:v>922095.7727873183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Charts!$A$13</c:f>
              <c:strCache>
                <c:ptCount val="1"/>
                <c:pt idx="0">
                  <c:v>Energy w/o FITs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Charts!$B$4:$G$4</c:f>
              <c:strCache/>
            </c:strRef>
          </c:cat>
          <c:val>
            <c:numRef>
              <c:f>Charts!$B$13:$G$13</c:f>
              <c:numCache/>
            </c:numRef>
          </c:val>
          <c:shape val="box"/>
        </c:ser>
        <c:overlap val="100"/>
        <c:shape val="box"/>
        <c:axId val="41018235"/>
        <c:axId val="4287488"/>
      </c:bar3DChart>
      <c:catAx>
        <c:axId val="41018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287488"/>
        <c:crosses val="autoZero"/>
        <c:auto val="1"/>
        <c:lblOffset val="100"/>
        <c:tickLblSkip val="1"/>
        <c:noMultiLvlLbl val="0"/>
      </c:catAx>
      <c:valAx>
        <c:axId val="4287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1018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36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400050</xdr:colOff>
      <xdr:row>4</xdr:row>
      <xdr:rowOff>9525</xdr:rowOff>
    </xdr:from>
    <xdr:to>
      <xdr:col>28</xdr:col>
      <xdr:colOff>257175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14449425" y="933450"/>
        <a:ext cx="56292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9525</xdr:rowOff>
    </xdr:from>
    <xdr:to>
      <xdr:col>11</xdr:col>
      <xdr:colOff>428625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161925" y="3524250"/>
        <a:ext cx="88296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59</xdr:row>
      <xdr:rowOff>0</xdr:rowOff>
    </xdr:from>
    <xdr:to>
      <xdr:col>11</xdr:col>
      <xdr:colOff>485775</xdr:colOff>
      <xdr:row>90</xdr:row>
      <xdr:rowOff>152400</xdr:rowOff>
    </xdr:to>
    <xdr:graphicFrame>
      <xdr:nvGraphicFramePr>
        <xdr:cNvPr id="3" name="Chart 3"/>
        <xdr:cNvGraphicFramePr/>
      </xdr:nvGraphicFramePr>
      <xdr:xfrm>
        <a:off x="200025" y="9829800"/>
        <a:ext cx="88487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2</xdr:row>
      <xdr:rowOff>57150</xdr:rowOff>
    </xdr:from>
    <xdr:to>
      <xdr:col>20</xdr:col>
      <xdr:colOff>523875</xdr:colOff>
      <xdr:row>22</xdr:row>
      <xdr:rowOff>95250</xdr:rowOff>
    </xdr:to>
    <xdr:grpSp>
      <xdr:nvGrpSpPr>
        <xdr:cNvPr id="4" name="Group 48"/>
        <xdr:cNvGrpSpPr>
          <a:grpSpLocks/>
        </xdr:cNvGrpSpPr>
      </xdr:nvGrpSpPr>
      <xdr:grpSpPr>
        <a:xfrm>
          <a:off x="11077575" y="457200"/>
          <a:ext cx="3495675" cy="3476625"/>
          <a:chOff x="3107" y="391"/>
          <a:chExt cx="2194" cy="2304"/>
        </a:xfrm>
        <a:solidFill>
          <a:srgbClr val="FFFFFF"/>
        </a:solidFill>
      </xdr:grpSpPr>
      <xdr:grpSp>
        <xdr:nvGrpSpPr>
          <xdr:cNvPr id="5" name="Group 3"/>
          <xdr:cNvGrpSpPr>
            <a:grpSpLocks/>
          </xdr:cNvGrpSpPr>
        </xdr:nvGrpSpPr>
        <xdr:grpSpPr>
          <a:xfrm>
            <a:off x="3285" y="391"/>
            <a:ext cx="2016" cy="2304"/>
            <a:chOff x="3552" y="336"/>
            <a:chExt cx="2112" cy="2544"/>
          </a:xfrm>
          <a:solidFill>
            <a:srgbClr val="FFFFFF"/>
          </a:solidFill>
        </xdr:grpSpPr>
        <xdr:grpSp>
          <xdr:nvGrpSpPr>
            <xdr:cNvPr id="6" name="Group 4"/>
            <xdr:cNvGrpSpPr>
              <a:grpSpLocks/>
            </xdr:cNvGrpSpPr>
          </xdr:nvGrpSpPr>
          <xdr:grpSpPr>
            <a:xfrm>
              <a:off x="3744" y="336"/>
              <a:ext cx="1728" cy="2544"/>
              <a:chOff x="3744" y="336"/>
              <a:chExt cx="1728" cy="2544"/>
            </a:xfrm>
            <a:solidFill>
              <a:srgbClr val="FFFFFF"/>
            </a:solidFill>
          </xdr:grpSpPr>
          <xdr:pic>
            <xdr:nvPicPr>
              <xdr:cNvPr id="7" name="Picture 60" descr="shetland map.gif"/>
              <xdr:cNvPicPr preferRelativeResize="1">
                <a:picLocks noChangeAspect="1"/>
              </xdr:cNvPicPr>
            </xdr:nvPicPr>
            <xdr:blipFill>
              <a:blip r:embed="rId4"/>
              <a:srcRect l="27023" t="5189" b="6364"/>
              <a:stretch>
                <a:fillRect/>
              </a:stretch>
            </xdr:blipFill>
            <xdr:spPr>
              <a:xfrm>
                <a:off x="3744" y="336"/>
                <a:ext cx="1728" cy="254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8" name="Freeform 6"/>
              <xdr:cNvSpPr>
                <a:spLocks/>
              </xdr:cNvSpPr>
            </xdr:nvSpPr>
            <xdr:spPr>
              <a:xfrm>
                <a:off x="4704" y="1984"/>
                <a:ext cx="208" cy="224"/>
              </a:xfrm>
              <a:custGeom>
                <a:pathLst>
                  <a:path h="1112" w="972">
                    <a:moveTo>
                      <a:pt x="969" y="11"/>
                    </a:moveTo>
                    <a:lnTo>
                      <a:pt x="969" y="11"/>
                    </a:lnTo>
                    <a:lnTo>
                      <a:pt x="964" y="5"/>
                    </a:lnTo>
                    <a:lnTo>
                      <a:pt x="957" y="0"/>
                    </a:lnTo>
                    <a:lnTo>
                      <a:pt x="949" y="0"/>
                    </a:lnTo>
                    <a:lnTo>
                      <a:pt x="942" y="2"/>
                    </a:lnTo>
                    <a:lnTo>
                      <a:pt x="594" y="176"/>
                    </a:lnTo>
                    <a:lnTo>
                      <a:pt x="588" y="180"/>
                    </a:lnTo>
                    <a:lnTo>
                      <a:pt x="585" y="186"/>
                    </a:lnTo>
                    <a:lnTo>
                      <a:pt x="563" y="244"/>
                    </a:lnTo>
                    <a:lnTo>
                      <a:pt x="550" y="236"/>
                    </a:lnTo>
                    <a:lnTo>
                      <a:pt x="537" y="232"/>
                    </a:lnTo>
                    <a:lnTo>
                      <a:pt x="523" y="229"/>
                    </a:lnTo>
                    <a:lnTo>
                      <a:pt x="508" y="227"/>
                    </a:lnTo>
                    <a:lnTo>
                      <a:pt x="496" y="229"/>
                    </a:lnTo>
                    <a:lnTo>
                      <a:pt x="484" y="230"/>
                    </a:lnTo>
                    <a:lnTo>
                      <a:pt x="472" y="235"/>
                    </a:lnTo>
                    <a:lnTo>
                      <a:pt x="461" y="239"/>
                    </a:lnTo>
                    <a:lnTo>
                      <a:pt x="459" y="241"/>
                    </a:lnTo>
                    <a:lnTo>
                      <a:pt x="425" y="262"/>
                    </a:lnTo>
                    <a:lnTo>
                      <a:pt x="27" y="127"/>
                    </a:lnTo>
                    <a:lnTo>
                      <a:pt x="20" y="126"/>
                    </a:lnTo>
                    <a:lnTo>
                      <a:pt x="12" y="127"/>
                    </a:lnTo>
                    <a:lnTo>
                      <a:pt x="6" y="132"/>
                    </a:lnTo>
                    <a:lnTo>
                      <a:pt x="2" y="139"/>
                    </a:lnTo>
                    <a:lnTo>
                      <a:pt x="0" y="147"/>
                    </a:lnTo>
                    <a:lnTo>
                      <a:pt x="2" y="155"/>
                    </a:lnTo>
                    <a:lnTo>
                      <a:pt x="5" y="161"/>
                    </a:lnTo>
                    <a:lnTo>
                      <a:pt x="11" y="167"/>
                    </a:lnTo>
                    <a:lnTo>
                      <a:pt x="325" y="330"/>
                    </a:lnTo>
                    <a:lnTo>
                      <a:pt x="320" y="347"/>
                    </a:lnTo>
                    <a:lnTo>
                      <a:pt x="317" y="362"/>
                    </a:lnTo>
                    <a:lnTo>
                      <a:pt x="317" y="376"/>
                    </a:lnTo>
                    <a:lnTo>
                      <a:pt x="318" y="388"/>
                    </a:lnTo>
                    <a:lnTo>
                      <a:pt x="320" y="398"/>
                    </a:lnTo>
                    <a:lnTo>
                      <a:pt x="323" y="408"/>
                    </a:lnTo>
                    <a:lnTo>
                      <a:pt x="328" y="415"/>
                    </a:lnTo>
                    <a:lnTo>
                      <a:pt x="331" y="420"/>
                    </a:lnTo>
                    <a:lnTo>
                      <a:pt x="335" y="424"/>
                    </a:lnTo>
                    <a:lnTo>
                      <a:pt x="340" y="426"/>
                    </a:lnTo>
                    <a:lnTo>
                      <a:pt x="346" y="426"/>
                    </a:lnTo>
                    <a:lnTo>
                      <a:pt x="402" y="426"/>
                    </a:lnTo>
                    <a:lnTo>
                      <a:pt x="376" y="968"/>
                    </a:lnTo>
                    <a:lnTo>
                      <a:pt x="315" y="971"/>
                    </a:lnTo>
                    <a:lnTo>
                      <a:pt x="255" y="976"/>
                    </a:lnTo>
                    <a:lnTo>
                      <a:pt x="197" y="983"/>
                    </a:lnTo>
                    <a:lnTo>
                      <a:pt x="141" y="994"/>
                    </a:lnTo>
                    <a:lnTo>
                      <a:pt x="133" y="997"/>
                    </a:lnTo>
                    <a:lnTo>
                      <a:pt x="127" y="1003"/>
                    </a:lnTo>
                    <a:lnTo>
                      <a:pt x="124" y="1010"/>
                    </a:lnTo>
                    <a:lnTo>
                      <a:pt x="124" y="1018"/>
                    </a:lnTo>
                    <a:lnTo>
                      <a:pt x="127" y="1026"/>
                    </a:lnTo>
                    <a:lnTo>
                      <a:pt x="133" y="1032"/>
                    </a:lnTo>
                    <a:lnTo>
                      <a:pt x="141" y="1035"/>
                    </a:lnTo>
                    <a:lnTo>
                      <a:pt x="149" y="1035"/>
                    </a:lnTo>
                    <a:lnTo>
                      <a:pt x="212" y="1024"/>
                    </a:lnTo>
                    <a:lnTo>
                      <a:pt x="279" y="1017"/>
                    </a:lnTo>
                    <a:lnTo>
                      <a:pt x="347" y="1010"/>
                    </a:lnTo>
                    <a:lnTo>
                      <a:pt x="417" y="1009"/>
                    </a:lnTo>
                    <a:lnTo>
                      <a:pt x="490" y="1012"/>
                    </a:lnTo>
                    <a:lnTo>
                      <a:pt x="560" y="1017"/>
                    </a:lnTo>
                    <a:lnTo>
                      <a:pt x="626" y="1024"/>
                    </a:lnTo>
                    <a:lnTo>
                      <a:pt x="690" y="1036"/>
                    </a:lnTo>
                    <a:lnTo>
                      <a:pt x="720" y="1042"/>
                    </a:lnTo>
                    <a:lnTo>
                      <a:pt x="749" y="1050"/>
                    </a:lnTo>
                    <a:lnTo>
                      <a:pt x="776" y="1059"/>
                    </a:lnTo>
                    <a:lnTo>
                      <a:pt x="802" y="1067"/>
                    </a:lnTo>
                    <a:lnTo>
                      <a:pt x="826" y="1077"/>
                    </a:lnTo>
                    <a:lnTo>
                      <a:pt x="849" y="1086"/>
                    </a:lnTo>
                    <a:lnTo>
                      <a:pt x="870" y="1097"/>
                    </a:lnTo>
                    <a:lnTo>
                      <a:pt x="889" y="1109"/>
                    </a:lnTo>
                    <a:lnTo>
                      <a:pt x="898" y="1112"/>
                    </a:lnTo>
                    <a:lnTo>
                      <a:pt x="905" y="1110"/>
                    </a:lnTo>
                    <a:lnTo>
                      <a:pt x="913" y="1107"/>
                    </a:lnTo>
                    <a:lnTo>
                      <a:pt x="919" y="1101"/>
                    </a:lnTo>
                    <a:lnTo>
                      <a:pt x="922" y="1094"/>
                    </a:lnTo>
                    <a:lnTo>
                      <a:pt x="922" y="1086"/>
                    </a:lnTo>
                    <a:lnTo>
                      <a:pt x="917" y="1079"/>
                    </a:lnTo>
                    <a:lnTo>
                      <a:pt x="911" y="1073"/>
                    </a:lnTo>
                    <a:lnTo>
                      <a:pt x="895" y="1062"/>
                    </a:lnTo>
                    <a:lnTo>
                      <a:pt x="875" y="1051"/>
                    </a:lnTo>
                    <a:lnTo>
                      <a:pt x="855" y="1042"/>
                    </a:lnTo>
                    <a:lnTo>
                      <a:pt x="834" y="1033"/>
                    </a:lnTo>
                    <a:lnTo>
                      <a:pt x="787" y="1018"/>
                    </a:lnTo>
                    <a:lnTo>
                      <a:pt x="737" y="1003"/>
                    </a:lnTo>
                    <a:lnTo>
                      <a:pt x="682" y="991"/>
                    </a:lnTo>
                    <a:lnTo>
                      <a:pt x="625" y="982"/>
                    </a:lnTo>
                    <a:lnTo>
                      <a:pt x="566" y="974"/>
                    </a:lnTo>
                    <a:lnTo>
                      <a:pt x="502" y="970"/>
                    </a:lnTo>
                    <a:lnTo>
                      <a:pt x="487" y="426"/>
                    </a:lnTo>
                    <a:lnTo>
                      <a:pt x="508" y="426"/>
                    </a:lnTo>
                    <a:lnTo>
                      <a:pt x="523" y="426"/>
                    </a:lnTo>
                    <a:lnTo>
                      <a:pt x="528" y="848"/>
                    </a:lnTo>
                    <a:lnTo>
                      <a:pt x="529" y="856"/>
                    </a:lnTo>
                    <a:lnTo>
                      <a:pt x="534" y="862"/>
                    </a:lnTo>
                    <a:lnTo>
                      <a:pt x="540" y="867"/>
                    </a:lnTo>
                    <a:lnTo>
                      <a:pt x="547" y="868"/>
                    </a:lnTo>
                    <a:lnTo>
                      <a:pt x="555" y="868"/>
                    </a:lnTo>
                    <a:lnTo>
                      <a:pt x="563" y="864"/>
                    </a:lnTo>
                    <a:lnTo>
                      <a:pt x="567" y="859"/>
                    </a:lnTo>
                    <a:lnTo>
                      <a:pt x="570" y="851"/>
                    </a:lnTo>
                    <a:lnTo>
                      <a:pt x="631" y="456"/>
                    </a:lnTo>
                    <a:lnTo>
                      <a:pt x="631" y="448"/>
                    </a:lnTo>
                    <a:lnTo>
                      <a:pt x="628" y="441"/>
                    </a:lnTo>
                    <a:lnTo>
                      <a:pt x="588" y="385"/>
                    </a:lnTo>
                    <a:lnTo>
                      <a:pt x="597" y="371"/>
                    </a:lnTo>
                    <a:lnTo>
                      <a:pt x="602" y="358"/>
                    </a:lnTo>
                    <a:lnTo>
                      <a:pt x="607" y="342"/>
                    </a:lnTo>
                    <a:lnTo>
                      <a:pt x="608" y="327"/>
                    </a:lnTo>
                    <a:lnTo>
                      <a:pt x="607" y="312"/>
                    </a:lnTo>
                    <a:lnTo>
                      <a:pt x="604" y="297"/>
                    </a:lnTo>
                    <a:lnTo>
                      <a:pt x="963" y="38"/>
                    </a:lnTo>
                    <a:lnTo>
                      <a:pt x="969" y="32"/>
                    </a:lnTo>
                    <a:lnTo>
                      <a:pt x="972" y="26"/>
                    </a:lnTo>
                    <a:lnTo>
                      <a:pt x="972" y="18"/>
                    </a:lnTo>
                    <a:lnTo>
                      <a:pt x="969" y="11"/>
                    </a:lnTo>
                    <a:close/>
                    <a:moveTo>
                      <a:pt x="969" y="11"/>
                    </a:moveTo>
                    <a:lnTo>
                      <a:pt x="440" y="312"/>
                    </a:lnTo>
                    <a:lnTo>
                      <a:pt x="440" y="312"/>
                    </a:lnTo>
                    <a:lnTo>
                      <a:pt x="400" y="323"/>
                    </a:lnTo>
                    <a:lnTo>
                      <a:pt x="270" y="255"/>
                    </a:lnTo>
                    <a:close/>
                    <a:moveTo>
                      <a:pt x="270" y="255"/>
                    </a:moveTo>
                    <a:lnTo>
                      <a:pt x="440" y="312"/>
                    </a:lnTo>
                    <a:lnTo>
                      <a:pt x="459" y="968"/>
                    </a:lnTo>
                    <a:lnTo>
                      <a:pt x="459" y="968"/>
                    </a:lnTo>
                    <a:lnTo>
                      <a:pt x="419" y="967"/>
                    </a:lnTo>
                    <a:close/>
                    <a:moveTo>
                      <a:pt x="419" y="967"/>
                    </a:moveTo>
                    <a:lnTo>
                      <a:pt x="444" y="426"/>
                    </a:lnTo>
                    <a:lnTo>
                      <a:pt x="459" y="968"/>
                    </a:lnTo>
                    <a:lnTo>
                      <a:pt x="567" y="588"/>
                    </a:lnTo>
                    <a:lnTo>
                      <a:pt x="567" y="588"/>
                    </a:lnTo>
                    <a:close/>
                    <a:moveTo>
                      <a:pt x="567" y="588"/>
                    </a:moveTo>
                    <a:lnTo>
                      <a:pt x="566" y="426"/>
                    </a:lnTo>
                    <a:lnTo>
                      <a:pt x="587" y="458"/>
                    </a:lnTo>
                    <a:lnTo>
                      <a:pt x="567" y="588"/>
                    </a:lnTo>
                    <a:lnTo>
                      <a:pt x="561" y="344"/>
                    </a:lnTo>
                    <a:lnTo>
                      <a:pt x="561" y="344"/>
                    </a:lnTo>
                    <a:lnTo>
                      <a:pt x="557" y="339"/>
                    </a:lnTo>
                    <a:lnTo>
                      <a:pt x="550" y="336"/>
                    </a:lnTo>
                    <a:lnTo>
                      <a:pt x="544" y="335"/>
                    </a:lnTo>
                    <a:lnTo>
                      <a:pt x="538" y="336"/>
                    </a:lnTo>
                    <a:lnTo>
                      <a:pt x="532" y="339"/>
                    </a:lnTo>
                    <a:lnTo>
                      <a:pt x="526" y="344"/>
                    </a:lnTo>
                    <a:lnTo>
                      <a:pt x="523" y="350"/>
                    </a:lnTo>
                    <a:lnTo>
                      <a:pt x="523" y="356"/>
                    </a:lnTo>
                    <a:lnTo>
                      <a:pt x="523" y="382"/>
                    </a:lnTo>
                    <a:lnTo>
                      <a:pt x="516" y="383"/>
                    </a:lnTo>
                    <a:lnTo>
                      <a:pt x="508" y="383"/>
                    </a:lnTo>
                    <a:lnTo>
                      <a:pt x="361" y="383"/>
                    </a:lnTo>
                    <a:lnTo>
                      <a:pt x="359" y="377"/>
                    </a:lnTo>
                    <a:lnTo>
                      <a:pt x="359" y="370"/>
                    </a:lnTo>
                    <a:lnTo>
                      <a:pt x="359" y="362"/>
                    </a:lnTo>
                    <a:lnTo>
                      <a:pt x="362" y="353"/>
                    </a:lnTo>
                    <a:lnTo>
                      <a:pt x="365" y="351"/>
                    </a:lnTo>
                    <a:lnTo>
                      <a:pt x="388" y="364"/>
                    </a:lnTo>
                    <a:lnTo>
                      <a:pt x="396" y="367"/>
                    </a:lnTo>
                    <a:lnTo>
                      <a:pt x="405" y="367"/>
                    </a:lnTo>
                    <a:lnTo>
                      <a:pt x="517" y="333"/>
                    </a:lnTo>
                    <a:lnTo>
                      <a:pt x="523" y="332"/>
                    </a:lnTo>
                    <a:lnTo>
                      <a:pt x="528" y="327"/>
                    </a:lnTo>
                    <a:lnTo>
                      <a:pt x="531" y="321"/>
                    </a:lnTo>
                    <a:lnTo>
                      <a:pt x="532" y="314"/>
                    </a:lnTo>
                    <a:lnTo>
                      <a:pt x="531" y="308"/>
                    </a:lnTo>
                    <a:lnTo>
                      <a:pt x="528" y="301"/>
                    </a:lnTo>
                    <a:lnTo>
                      <a:pt x="523" y="297"/>
                    </a:lnTo>
                    <a:lnTo>
                      <a:pt x="519" y="294"/>
                    </a:lnTo>
                    <a:lnTo>
                      <a:pt x="476" y="279"/>
                    </a:lnTo>
                    <a:lnTo>
                      <a:pt x="481" y="277"/>
                    </a:lnTo>
                    <a:lnTo>
                      <a:pt x="494" y="271"/>
                    </a:lnTo>
                    <a:lnTo>
                      <a:pt x="508" y="270"/>
                    </a:lnTo>
                    <a:lnTo>
                      <a:pt x="519" y="271"/>
                    </a:lnTo>
                    <a:lnTo>
                      <a:pt x="529" y="274"/>
                    </a:lnTo>
                    <a:lnTo>
                      <a:pt x="538" y="279"/>
                    </a:lnTo>
                    <a:lnTo>
                      <a:pt x="546" y="285"/>
                    </a:lnTo>
                    <a:lnTo>
                      <a:pt x="544" y="291"/>
                    </a:lnTo>
                    <a:lnTo>
                      <a:pt x="543" y="298"/>
                    </a:lnTo>
                    <a:lnTo>
                      <a:pt x="543" y="305"/>
                    </a:lnTo>
                    <a:lnTo>
                      <a:pt x="546" y="311"/>
                    </a:lnTo>
                    <a:lnTo>
                      <a:pt x="550" y="315"/>
                    </a:lnTo>
                    <a:lnTo>
                      <a:pt x="558" y="320"/>
                    </a:lnTo>
                    <a:lnTo>
                      <a:pt x="564" y="320"/>
                    </a:lnTo>
                    <a:close/>
                    <a:moveTo>
                      <a:pt x="564" y="320"/>
                    </a:moveTo>
                    <a:lnTo>
                      <a:pt x="566" y="327"/>
                    </a:lnTo>
                    <a:lnTo>
                      <a:pt x="564" y="336"/>
                    </a:lnTo>
                    <a:lnTo>
                      <a:pt x="563" y="345"/>
                    </a:lnTo>
                    <a:lnTo>
                      <a:pt x="561" y="344"/>
                    </a:lnTo>
                    <a:close/>
                  </a:path>
                </a:pathLst>
              </a:custGeom>
              <a:solidFill>
                <a:srgbClr val="99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7"/>
              <xdr:cNvSpPr>
                <a:spLocks/>
              </xdr:cNvSpPr>
            </xdr:nvSpPr>
            <xdr:spPr>
              <a:xfrm>
                <a:off x="4752" y="1248"/>
                <a:ext cx="144" cy="125"/>
              </a:xfrm>
              <a:prstGeom prst="moon">
                <a:avLst/>
              </a:prstGeom>
              <a:solidFill>
                <a:srgbClr val="FF9900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" name="Group 8"/>
              <xdr:cNvGrpSpPr>
                <a:grpSpLocks/>
              </xdr:cNvGrpSpPr>
            </xdr:nvGrpSpPr>
            <xdr:grpSpPr>
              <a:xfrm>
                <a:off x="4699" y="1804"/>
                <a:ext cx="127" cy="130"/>
                <a:chOff x="3840" y="2496"/>
                <a:chExt cx="1008" cy="912"/>
              </a:xfrm>
              <a:solidFill>
                <a:srgbClr val="FFFFFF"/>
              </a:solidFill>
            </xdr:grpSpPr>
            <xdr:sp>
              <xdr:nvSpPr>
                <xdr:cNvPr id="11" name="AutoShape 9"/>
                <xdr:cNvSpPr>
                  <a:spLocks/>
                </xdr:cNvSpPr>
              </xdr:nvSpPr>
              <xdr:spPr>
                <a:xfrm>
                  <a:off x="3840" y="2496"/>
                  <a:ext cx="1008" cy="912"/>
                </a:xfrm>
                <a:prstGeom prst="flowChartMagneticTape">
                  <a:avLst/>
                </a:prstGeom>
                <a:solidFill>
                  <a:srgbClr val="99CC00"/>
                </a:solidFill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Oval 10"/>
                <xdr:cNvSpPr>
                  <a:spLocks/>
                </xdr:cNvSpPr>
              </xdr:nvSpPr>
              <xdr:spPr>
                <a:xfrm>
                  <a:off x="4176" y="2784"/>
                  <a:ext cx="384" cy="336"/>
                </a:xfrm>
                <a:prstGeom prst="ellips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Freeform 11"/>
                <xdr:cNvSpPr>
                  <a:spLocks/>
                </xdr:cNvSpPr>
              </xdr:nvSpPr>
              <xdr:spPr>
                <a:xfrm rot="13015042">
                  <a:off x="4032" y="2592"/>
                  <a:ext cx="240" cy="240"/>
                </a:xfrm>
                <a:custGeom>
                  <a:pathLst>
                    <a:path h="240" w="240">
                      <a:moveTo>
                        <a:pt x="0" y="0"/>
                      </a:moveTo>
                      <a:cubicBezTo>
                        <a:pt x="76" y="28"/>
                        <a:pt x="152" y="56"/>
                        <a:pt x="192" y="96"/>
                      </a:cubicBezTo>
                      <a:cubicBezTo>
                        <a:pt x="232" y="136"/>
                        <a:pt x="240" y="232"/>
                        <a:pt x="240" y="240"/>
                      </a:cubicBez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Freeform 12"/>
                <xdr:cNvSpPr>
                  <a:spLocks/>
                </xdr:cNvSpPr>
              </xdr:nvSpPr>
              <xdr:spPr>
                <a:xfrm rot="17586652">
                  <a:off x="4464" y="2592"/>
                  <a:ext cx="240" cy="240"/>
                </a:xfrm>
                <a:custGeom>
                  <a:pathLst>
                    <a:path h="240" w="240">
                      <a:moveTo>
                        <a:pt x="0" y="0"/>
                      </a:moveTo>
                      <a:cubicBezTo>
                        <a:pt x="76" y="28"/>
                        <a:pt x="152" y="56"/>
                        <a:pt x="192" y="96"/>
                      </a:cubicBezTo>
                      <a:cubicBezTo>
                        <a:pt x="232" y="136"/>
                        <a:pt x="240" y="232"/>
                        <a:pt x="240" y="240"/>
                      </a:cubicBez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Freeform 13"/>
                <xdr:cNvSpPr>
                  <a:spLocks/>
                </xdr:cNvSpPr>
              </xdr:nvSpPr>
              <xdr:spPr>
                <a:xfrm rot="1517757">
                  <a:off x="4224" y="3120"/>
                  <a:ext cx="240" cy="240"/>
                </a:xfrm>
                <a:custGeom>
                  <a:pathLst>
                    <a:path h="240" w="240">
                      <a:moveTo>
                        <a:pt x="0" y="0"/>
                      </a:moveTo>
                      <a:cubicBezTo>
                        <a:pt x="76" y="28"/>
                        <a:pt x="152" y="56"/>
                        <a:pt x="192" y="96"/>
                      </a:cubicBezTo>
                      <a:cubicBezTo>
                        <a:pt x="232" y="136"/>
                        <a:pt x="240" y="232"/>
                        <a:pt x="240" y="240"/>
                      </a:cubicBez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Freeform 14"/>
                <xdr:cNvSpPr>
                  <a:spLocks/>
                </xdr:cNvSpPr>
              </xdr:nvSpPr>
              <xdr:spPr>
                <a:xfrm rot="5974075">
                  <a:off x="3936" y="2976"/>
                  <a:ext cx="240" cy="240"/>
                </a:xfrm>
                <a:custGeom>
                  <a:pathLst>
                    <a:path h="240" w="240">
                      <a:moveTo>
                        <a:pt x="0" y="0"/>
                      </a:moveTo>
                      <a:cubicBezTo>
                        <a:pt x="76" y="28"/>
                        <a:pt x="152" y="56"/>
                        <a:pt x="192" y="96"/>
                      </a:cubicBezTo>
                      <a:cubicBezTo>
                        <a:pt x="232" y="136"/>
                        <a:pt x="240" y="232"/>
                        <a:pt x="240" y="240"/>
                      </a:cubicBez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Freeform 15"/>
                <xdr:cNvSpPr>
                  <a:spLocks/>
                </xdr:cNvSpPr>
              </xdr:nvSpPr>
              <xdr:spPr>
                <a:xfrm rot="499108">
                  <a:off x="4560" y="2928"/>
                  <a:ext cx="240" cy="240"/>
                </a:xfrm>
                <a:custGeom>
                  <a:pathLst>
                    <a:path h="240" w="240">
                      <a:moveTo>
                        <a:pt x="0" y="0"/>
                      </a:moveTo>
                      <a:cubicBezTo>
                        <a:pt x="76" y="28"/>
                        <a:pt x="152" y="56"/>
                        <a:pt x="192" y="96"/>
                      </a:cubicBezTo>
                      <a:cubicBezTo>
                        <a:pt x="232" y="136"/>
                        <a:pt x="240" y="232"/>
                        <a:pt x="240" y="240"/>
                      </a:cubicBez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8" name="Group 16"/>
              <xdr:cNvGrpSpPr>
                <a:grpSpLocks/>
              </xdr:cNvGrpSpPr>
            </xdr:nvGrpSpPr>
            <xdr:grpSpPr>
              <a:xfrm>
                <a:off x="4032" y="1680"/>
                <a:ext cx="253" cy="288"/>
                <a:chOff x="1392" y="768"/>
                <a:chExt cx="2244" cy="1248"/>
              </a:xfrm>
              <a:solidFill>
                <a:srgbClr val="FFFFFF"/>
              </a:solidFill>
            </xdr:grpSpPr>
            <xdr:grpSp>
              <xdr:nvGrpSpPr>
                <xdr:cNvPr id="19" name="Group 17"/>
                <xdr:cNvGrpSpPr>
                  <a:grpSpLocks/>
                </xdr:cNvGrpSpPr>
              </xdr:nvGrpSpPr>
              <xdr:grpSpPr>
                <a:xfrm>
                  <a:off x="1392" y="768"/>
                  <a:ext cx="2244" cy="1248"/>
                  <a:chOff x="1392" y="768"/>
                  <a:chExt cx="2244" cy="1248"/>
                </a:xfrm>
                <a:solidFill>
                  <a:srgbClr val="FFFFFF"/>
                </a:solidFill>
              </xdr:grpSpPr>
              <xdr:sp>
                <xdr:nvSpPr>
                  <xdr:cNvPr id="20" name="Freeform 18"/>
                  <xdr:cNvSpPr>
                    <a:spLocks/>
                  </xdr:cNvSpPr>
                </xdr:nvSpPr>
                <xdr:spPr>
                  <a:xfrm>
                    <a:off x="1476" y="1561"/>
                    <a:ext cx="2093" cy="438"/>
                  </a:xfrm>
                  <a:custGeom>
                    <a:pathLst>
                      <a:path h="991" w="5350">
                        <a:moveTo>
                          <a:pt x="47" y="453"/>
                        </a:moveTo>
                        <a:lnTo>
                          <a:pt x="0" y="141"/>
                        </a:lnTo>
                        <a:lnTo>
                          <a:pt x="350" y="481"/>
                        </a:lnTo>
                        <a:lnTo>
                          <a:pt x="669" y="594"/>
                        </a:lnTo>
                        <a:lnTo>
                          <a:pt x="876" y="567"/>
                        </a:lnTo>
                        <a:lnTo>
                          <a:pt x="1103" y="462"/>
                        </a:lnTo>
                        <a:lnTo>
                          <a:pt x="1367" y="227"/>
                        </a:lnTo>
                        <a:lnTo>
                          <a:pt x="1658" y="67"/>
                        </a:lnTo>
                        <a:lnTo>
                          <a:pt x="1941" y="122"/>
                        </a:lnTo>
                        <a:lnTo>
                          <a:pt x="2215" y="584"/>
                        </a:lnTo>
                        <a:lnTo>
                          <a:pt x="2515" y="679"/>
                        </a:lnTo>
                        <a:lnTo>
                          <a:pt x="2779" y="424"/>
                        </a:lnTo>
                        <a:lnTo>
                          <a:pt x="2987" y="169"/>
                        </a:lnTo>
                        <a:lnTo>
                          <a:pt x="3306" y="0"/>
                        </a:lnTo>
                        <a:lnTo>
                          <a:pt x="3542" y="67"/>
                        </a:lnTo>
                        <a:lnTo>
                          <a:pt x="3768" y="227"/>
                        </a:lnTo>
                        <a:lnTo>
                          <a:pt x="4080" y="576"/>
                        </a:lnTo>
                        <a:lnTo>
                          <a:pt x="4371" y="746"/>
                        </a:lnTo>
                        <a:lnTo>
                          <a:pt x="4645" y="557"/>
                        </a:lnTo>
                        <a:lnTo>
                          <a:pt x="4945" y="246"/>
                        </a:lnTo>
                        <a:lnTo>
                          <a:pt x="5087" y="19"/>
                        </a:lnTo>
                        <a:lnTo>
                          <a:pt x="5350" y="150"/>
                        </a:lnTo>
                        <a:lnTo>
                          <a:pt x="4597" y="867"/>
                        </a:lnTo>
                        <a:lnTo>
                          <a:pt x="4211" y="924"/>
                        </a:lnTo>
                        <a:lnTo>
                          <a:pt x="4032" y="848"/>
                        </a:lnTo>
                        <a:lnTo>
                          <a:pt x="3816" y="660"/>
                        </a:lnTo>
                        <a:lnTo>
                          <a:pt x="3627" y="434"/>
                        </a:lnTo>
                        <a:lnTo>
                          <a:pt x="3477" y="293"/>
                        </a:lnTo>
                        <a:lnTo>
                          <a:pt x="3297" y="284"/>
                        </a:lnTo>
                        <a:lnTo>
                          <a:pt x="2901" y="622"/>
                        </a:lnTo>
                        <a:lnTo>
                          <a:pt x="2610" y="943"/>
                        </a:lnTo>
                        <a:lnTo>
                          <a:pt x="2393" y="991"/>
                        </a:lnTo>
                        <a:lnTo>
                          <a:pt x="2101" y="858"/>
                        </a:lnTo>
                        <a:lnTo>
                          <a:pt x="1931" y="698"/>
                        </a:lnTo>
                        <a:lnTo>
                          <a:pt x="1743" y="367"/>
                        </a:lnTo>
                        <a:lnTo>
                          <a:pt x="1593" y="322"/>
                        </a:lnTo>
                        <a:lnTo>
                          <a:pt x="1405" y="481"/>
                        </a:lnTo>
                        <a:lnTo>
                          <a:pt x="1198" y="746"/>
                        </a:lnTo>
                        <a:lnTo>
                          <a:pt x="791" y="953"/>
                        </a:lnTo>
                        <a:lnTo>
                          <a:pt x="367" y="848"/>
                        </a:lnTo>
                        <a:lnTo>
                          <a:pt x="47" y="453"/>
                        </a:lnTo>
                        <a:close/>
                      </a:path>
                    </a:pathLst>
                  </a:custGeom>
                  <a:solidFill>
                    <a:srgbClr val="333399"/>
                  </a:solidFill>
                  <a:ln w="9525" cmpd="sng">
                    <a:solidFill>
                      <a:srgbClr val="333399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Freeform 19"/>
                  <xdr:cNvSpPr>
                    <a:spLocks/>
                  </xdr:cNvSpPr>
                </xdr:nvSpPr>
                <xdr:spPr>
                  <a:xfrm>
                    <a:off x="1746" y="816"/>
                    <a:ext cx="368" cy="260"/>
                  </a:xfrm>
                  <a:custGeom>
                    <a:pathLst>
                      <a:path h="588" w="943">
                        <a:moveTo>
                          <a:pt x="211" y="128"/>
                        </a:moveTo>
                        <a:lnTo>
                          <a:pt x="291" y="122"/>
                        </a:lnTo>
                        <a:lnTo>
                          <a:pt x="188" y="194"/>
                        </a:lnTo>
                        <a:lnTo>
                          <a:pt x="152" y="272"/>
                        </a:lnTo>
                        <a:lnTo>
                          <a:pt x="164" y="322"/>
                        </a:lnTo>
                        <a:lnTo>
                          <a:pt x="272" y="327"/>
                        </a:lnTo>
                        <a:lnTo>
                          <a:pt x="829" y="0"/>
                        </a:lnTo>
                        <a:lnTo>
                          <a:pt x="943" y="25"/>
                        </a:lnTo>
                        <a:lnTo>
                          <a:pt x="804" y="134"/>
                        </a:lnTo>
                        <a:lnTo>
                          <a:pt x="666" y="272"/>
                        </a:lnTo>
                        <a:lnTo>
                          <a:pt x="586" y="405"/>
                        </a:lnTo>
                        <a:lnTo>
                          <a:pt x="435" y="527"/>
                        </a:lnTo>
                        <a:lnTo>
                          <a:pt x="291" y="582"/>
                        </a:lnTo>
                        <a:lnTo>
                          <a:pt x="127" y="588"/>
                        </a:lnTo>
                        <a:lnTo>
                          <a:pt x="0" y="461"/>
                        </a:lnTo>
                        <a:lnTo>
                          <a:pt x="25" y="267"/>
                        </a:lnTo>
                        <a:lnTo>
                          <a:pt x="116" y="175"/>
                        </a:lnTo>
                        <a:lnTo>
                          <a:pt x="211" y="128"/>
                        </a:lnTo>
                        <a:close/>
                      </a:path>
                    </a:pathLst>
                  </a:custGeom>
                  <a:solidFill>
                    <a:srgbClr val="FF99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Freeform 20"/>
                  <xdr:cNvSpPr>
                    <a:spLocks/>
                  </xdr:cNvSpPr>
                </xdr:nvSpPr>
                <xdr:spPr>
                  <a:xfrm>
                    <a:off x="2975" y="1162"/>
                    <a:ext cx="474" cy="455"/>
                  </a:xfrm>
                  <a:custGeom>
                    <a:pathLst>
                      <a:path h="1029" w="1213">
                        <a:moveTo>
                          <a:pt x="583" y="0"/>
                        </a:moveTo>
                        <a:lnTo>
                          <a:pt x="344" y="232"/>
                        </a:lnTo>
                        <a:lnTo>
                          <a:pt x="203" y="405"/>
                        </a:lnTo>
                        <a:lnTo>
                          <a:pt x="180" y="593"/>
                        </a:lnTo>
                        <a:lnTo>
                          <a:pt x="224" y="780"/>
                        </a:lnTo>
                        <a:lnTo>
                          <a:pt x="390" y="886"/>
                        </a:lnTo>
                        <a:lnTo>
                          <a:pt x="578" y="892"/>
                        </a:lnTo>
                        <a:lnTo>
                          <a:pt x="756" y="810"/>
                        </a:lnTo>
                        <a:lnTo>
                          <a:pt x="899" y="660"/>
                        </a:lnTo>
                        <a:lnTo>
                          <a:pt x="958" y="502"/>
                        </a:lnTo>
                        <a:lnTo>
                          <a:pt x="973" y="338"/>
                        </a:lnTo>
                        <a:lnTo>
                          <a:pt x="846" y="158"/>
                        </a:lnTo>
                        <a:lnTo>
                          <a:pt x="487" y="241"/>
                        </a:lnTo>
                        <a:lnTo>
                          <a:pt x="711" y="68"/>
                        </a:lnTo>
                        <a:lnTo>
                          <a:pt x="861" y="7"/>
                        </a:lnTo>
                        <a:lnTo>
                          <a:pt x="1026" y="53"/>
                        </a:lnTo>
                        <a:lnTo>
                          <a:pt x="1182" y="232"/>
                        </a:lnTo>
                        <a:lnTo>
                          <a:pt x="1213" y="390"/>
                        </a:lnTo>
                        <a:lnTo>
                          <a:pt x="1190" y="563"/>
                        </a:lnTo>
                        <a:lnTo>
                          <a:pt x="1078" y="772"/>
                        </a:lnTo>
                        <a:lnTo>
                          <a:pt x="922" y="922"/>
                        </a:lnTo>
                        <a:lnTo>
                          <a:pt x="667" y="1021"/>
                        </a:lnTo>
                        <a:lnTo>
                          <a:pt x="336" y="1029"/>
                        </a:lnTo>
                        <a:lnTo>
                          <a:pt x="150" y="907"/>
                        </a:lnTo>
                        <a:lnTo>
                          <a:pt x="0" y="683"/>
                        </a:lnTo>
                        <a:lnTo>
                          <a:pt x="30" y="405"/>
                        </a:lnTo>
                        <a:lnTo>
                          <a:pt x="255" y="158"/>
                        </a:lnTo>
                        <a:lnTo>
                          <a:pt x="412" y="15"/>
                        </a:lnTo>
                        <a:lnTo>
                          <a:pt x="583" y="0"/>
                        </a:lnTo>
                        <a:close/>
                      </a:path>
                    </a:pathLst>
                  </a:custGeom>
                  <a:solidFill>
                    <a:srgbClr val="FF99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Freeform 21"/>
                  <xdr:cNvSpPr>
                    <a:spLocks/>
                  </xdr:cNvSpPr>
                </xdr:nvSpPr>
                <xdr:spPr>
                  <a:xfrm>
                    <a:off x="2948" y="1153"/>
                    <a:ext cx="480" cy="478"/>
                  </a:xfrm>
                  <a:custGeom>
                    <a:pathLst>
                      <a:path h="1084" w="1227">
                        <a:moveTo>
                          <a:pt x="618" y="42"/>
                        </a:moveTo>
                        <a:lnTo>
                          <a:pt x="474" y="133"/>
                        </a:lnTo>
                        <a:lnTo>
                          <a:pt x="325" y="251"/>
                        </a:lnTo>
                        <a:lnTo>
                          <a:pt x="227" y="390"/>
                        </a:lnTo>
                        <a:lnTo>
                          <a:pt x="166" y="565"/>
                        </a:lnTo>
                        <a:lnTo>
                          <a:pt x="166" y="728"/>
                        </a:lnTo>
                        <a:lnTo>
                          <a:pt x="230" y="867"/>
                        </a:lnTo>
                        <a:lnTo>
                          <a:pt x="335" y="958"/>
                        </a:lnTo>
                        <a:lnTo>
                          <a:pt x="453" y="998"/>
                        </a:lnTo>
                        <a:lnTo>
                          <a:pt x="588" y="998"/>
                        </a:lnTo>
                        <a:lnTo>
                          <a:pt x="730" y="968"/>
                        </a:lnTo>
                        <a:lnTo>
                          <a:pt x="865" y="884"/>
                        </a:lnTo>
                        <a:lnTo>
                          <a:pt x="979" y="776"/>
                        </a:lnTo>
                        <a:lnTo>
                          <a:pt x="1052" y="633"/>
                        </a:lnTo>
                        <a:lnTo>
                          <a:pt x="1061" y="489"/>
                        </a:lnTo>
                        <a:lnTo>
                          <a:pt x="1054" y="369"/>
                        </a:lnTo>
                        <a:lnTo>
                          <a:pt x="1008" y="272"/>
                        </a:lnTo>
                        <a:lnTo>
                          <a:pt x="930" y="204"/>
                        </a:lnTo>
                        <a:lnTo>
                          <a:pt x="810" y="190"/>
                        </a:lnTo>
                        <a:lnTo>
                          <a:pt x="704" y="221"/>
                        </a:lnTo>
                        <a:lnTo>
                          <a:pt x="628" y="259"/>
                        </a:lnTo>
                        <a:lnTo>
                          <a:pt x="571" y="291"/>
                        </a:lnTo>
                        <a:lnTo>
                          <a:pt x="531" y="259"/>
                        </a:lnTo>
                        <a:lnTo>
                          <a:pt x="706" y="143"/>
                        </a:lnTo>
                        <a:lnTo>
                          <a:pt x="865" y="103"/>
                        </a:lnTo>
                        <a:lnTo>
                          <a:pt x="1023" y="133"/>
                        </a:lnTo>
                        <a:lnTo>
                          <a:pt x="1145" y="230"/>
                        </a:lnTo>
                        <a:lnTo>
                          <a:pt x="1200" y="342"/>
                        </a:lnTo>
                        <a:lnTo>
                          <a:pt x="1227" y="472"/>
                        </a:lnTo>
                        <a:lnTo>
                          <a:pt x="1213" y="628"/>
                        </a:lnTo>
                        <a:lnTo>
                          <a:pt x="1135" y="814"/>
                        </a:lnTo>
                        <a:lnTo>
                          <a:pt x="966" y="955"/>
                        </a:lnTo>
                        <a:lnTo>
                          <a:pt x="751" y="1054"/>
                        </a:lnTo>
                        <a:lnTo>
                          <a:pt x="521" y="1084"/>
                        </a:lnTo>
                        <a:lnTo>
                          <a:pt x="291" y="1054"/>
                        </a:lnTo>
                        <a:lnTo>
                          <a:pt x="156" y="985"/>
                        </a:lnTo>
                        <a:lnTo>
                          <a:pt x="40" y="850"/>
                        </a:lnTo>
                        <a:lnTo>
                          <a:pt x="0" y="677"/>
                        </a:lnTo>
                        <a:lnTo>
                          <a:pt x="21" y="494"/>
                        </a:lnTo>
                        <a:lnTo>
                          <a:pt x="101" y="285"/>
                        </a:lnTo>
                        <a:lnTo>
                          <a:pt x="217" y="146"/>
                        </a:lnTo>
                        <a:lnTo>
                          <a:pt x="369" y="44"/>
                        </a:lnTo>
                        <a:lnTo>
                          <a:pt x="493" y="0"/>
                        </a:lnTo>
                        <a:lnTo>
                          <a:pt x="592" y="4"/>
                        </a:lnTo>
                        <a:lnTo>
                          <a:pt x="618" y="42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Freeform 22"/>
                  <xdr:cNvSpPr>
                    <a:spLocks/>
                  </xdr:cNvSpPr>
                </xdr:nvSpPr>
                <xdr:spPr>
                  <a:xfrm>
                    <a:off x="1607" y="1173"/>
                    <a:ext cx="474" cy="455"/>
                  </a:xfrm>
                  <a:custGeom>
                    <a:pathLst>
                      <a:path h="1026" w="1213">
                        <a:moveTo>
                          <a:pt x="584" y="0"/>
                        </a:moveTo>
                        <a:lnTo>
                          <a:pt x="345" y="232"/>
                        </a:lnTo>
                        <a:lnTo>
                          <a:pt x="202" y="405"/>
                        </a:lnTo>
                        <a:lnTo>
                          <a:pt x="181" y="591"/>
                        </a:lnTo>
                        <a:lnTo>
                          <a:pt x="225" y="779"/>
                        </a:lnTo>
                        <a:lnTo>
                          <a:pt x="390" y="884"/>
                        </a:lnTo>
                        <a:lnTo>
                          <a:pt x="577" y="891"/>
                        </a:lnTo>
                        <a:lnTo>
                          <a:pt x="757" y="810"/>
                        </a:lnTo>
                        <a:lnTo>
                          <a:pt x="900" y="659"/>
                        </a:lnTo>
                        <a:lnTo>
                          <a:pt x="959" y="502"/>
                        </a:lnTo>
                        <a:lnTo>
                          <a:pt x="974" y="336"/>
                        </a:lnTo>
                        <a:lnTo>
                          <a:pt x="846" y="157"/>
                        </a:lnTo>
                        <a:lnTo>
                          <a:pt x="487" y="239"/>
                        </a:lnTo>
                        <a:lnTo>
                          <a:pt x="712" y="66"/>
                        </a:lnTo>
                        <a:lnTo>
                          <a:pt x="862" y="7"/>
                        </a:lnTo>
                        <a:lnTo>
                          <a:pt x="1027" y="51"/>
                        </a:lnTo>
                        <a:lnTo>
                          <a:pt x="1183" y="232"/>
                        </a:lnTo>
                        <a:lnTo>
                          <a:pt x="1213" y="389"/>
                        </a:lnTo>
                        <a:lnTo>
                          <a:pt x="1191" y="561"/>
                        </a:lnTo>
                        <a:lnTo>
                          <a:pt x="1078" y="772"/>
                        </a:lnTo>
                        <a:lnTo>
                          <a:pt x="921" y="922"/>
                        </a:lnTo>
                        <a:lnTo>
                          <a:pt x="668" y="1019"/>
                        </a:lnTo>
                        <a:lnTo>
                          <a:pt x="337" y="1026"/>
                        </a:lnTo>
                        <a:lnTo>
                          <a:pt x="151" y="907"/>
                        </a:lnTo>
                        <a:lnTo>
                          <a:pt x="0" y="682"/>
                        </a:lnTo>
                        <a:lnTo>
                          <a:pt x="31" y="405"/>
                        </a:lnTo>
                        <a:lnTo>
                          <a:pt x="255" y="157"/>
                        </a:lnTo>
                        <a:lnTo>
                          <a:pt x="413" y="15"/>
                        </a:lnTo>
                        <a:lnTo>
                          <a:pt x="584" y="0"/>
                        </a:lnTo>
                        <a:close/>
                      </a:path>
                    </a:pathLst>
                  </a:custGeom>
                  <a:solidFill>
                    <a:srgbClr val="FF99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23"/>
                  <xdr:cNvSpPr>
                    <a:spLocks/>
                  </xdr:cNvSpPr>
                </xdr:nvSpPr>
                <xdr:spPr>
                  <a:xfrm>
                    <a:off x="1581" y="1163"/>
                    <a:ext cx="479" cy="479"/>
                  </a:xfrm>
                  <a:custGeom>
                    <a:pathLst>
                      <a:path h="1082" w="1226">
                        <a:moveTo>
                          <a:pt x="618" y="40"/>
                        </a:moveTo>
                        <a:lnTo>
                          <a:pt x="473" y="131"/>
                        </a:lnTo>
                        <a:lnTo>
                          <a:pt x="323" y="249"/>
                        </a:lnTo>
                        <a:lnTo>
                          <a:pt x="226" y="388"/>
                        </a:lnTo>
                        <a:lnTo>
                          <a:pt x="165" y="565"/>
                        </a:lnTo>
                        <a:lnTo>
                          <a:pt x="165" y="726"/>
                        </a:lnTo>
                        <a:lnTo>
                          <a:pt x="230" y="865"/>
                        </a:lnTo>
                        <a:lnTo>
                          <a:pt x="335" y="958"/>
                        </a:lnTo>
                        <a:lnTo>
                          <a:pt x="452" y="998"/>
                        </a:lnTo>
                        <a:lnTo>
                          <a:pt x="587" y="998"/>
                        </a:lnTo>
                        <a:lnTo>
                          <a:pt x="730" y="968"/>
                        </a:lnTo>
                        <a:lnTo>
                          <a:pt x="865" y="882"/>
                        </a:lnTo>
                        <a:lnTo>
                          <a:pt x="979" y="774"/>
                        </a:lnTo>
                        <a:lnTo>
                          <a:pt x="1051" y="633"/>
                        </a:lnTo>
                        <a:lnTo>
                          <a:pt x="1061" y="487"/>
                        </a:lnTo>
                        <a:lnTo>
                          <a:pt x="1053" y="369"/>
                        </a:lnTo>
                        <a:lnTo>
                          <a:pt x="1008" y="270"/>
                        </a:lnTo>
                        <a:lnTo>
                          <a:pt x="930" y="203"/>
                        </a:lnTo>
                        <a:lnTo>
                          <a:pt x="810" y="190"/>
                        </a:lnTo>
                        <a:lnTo>
                          <a:pt x="702" y="220"/>
                        </a:lnTo>
                        <a:lnTo>
                          <a:pt x="627" y="256"/>
                        </a:lnTo>
                        <a:lnTo>
                          <a:pt x="570" y="291"/>
                        </a:lnTo>
                        <a:lnTo>
                          <a:pt x="530" y="256"/>
                        </a:lnTo>
                        <a:lnTo>
                          <a:pt x="705" y="142"/>
                        </a:lnTo>
                        <a:lnTo>
                          <a:pt x="865" y="101"/>
                        </a:lnTo>
                        <a:lnTo>
                          <a:pt x="1023" y="131"/>
                        </a:lnTo>
                        <a:lnTo>
                          <a:pt x="1145" y="230"/>
                        </a:lnTo>
                        <a:lnTo>
                          <a:pt x="1200" y="342"/>
                        </a:lnTo>
                        <a:lnTo>
                          <a:pt x="1226" y="469"/>
                        </a:lnTo>
                        <a:lnTo>
                          <a:pt x="1213" y="625"/>
                        </a:lnTo>
                        <a:lnTo>
                          <a:pt x="1135" y="812"/>
                        </a:lnTo>
                        <a:lnTo>
                          <a:pt x="966" y="954"/>
                        </a:lnTo>
                        <a:lnTo>
                          <a:pt x="749" y="1051"/>
                        </a:lnTo>
                        <a:lnTo>
                          <a:pt x="521" y="1082"/>
                        </a:lnTo>
                        <a:lnTo>
                          <a:pt x="291" y="1051"/>
                        </a:lnTo>
                        <a:lnTo>
                          <a:pt x="154" y="985"/>
                        </a:lnTo>
                        <a:lnTo>
                          <a:pt x="40" y="850"/>
                        </a:lnTo>
                        <a:lnTo>
                          <a:pt x="0" y="677"/>
                        </a:lnTo>
                        <a:lnTo>
                          <a:pt x="19" y="494"/>
                        </a:lnTo>
                        <a:lnTo>
                          <a:pt x="101" y="283"/>
                        </a:lnTo>
                        <a:lnTo>
                          <a:pt x="215" y="144"/>
                        </a:lnTo>
                        <a:lnTo>
                          <a:pt x="367" y="44"/>
                        </a:lnTo>
                        <a:lnTo>
                          <a:pt x="492" y="0"/>
                        </a:lnTo>
                        <a:lnTo>
                          <a:pt x="591" y="4"/>
                        </a:lnTo>
                        <a:lnTo>
                          <a:pt x="618" y="4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Freeform 24"/>
                  <xdr:cNvSpPr>
                    <a:spLocks/>
                  </xdr:cNvSpPr>
                </xdr:nvSpPr>
                <xdr:spPr>
                  <a:xfrm>
                    <a:off x="2300" y="1138"/>
                    <a:ext cx="474" cy="454"/>
                  </a:xfrm>
                  <a:custGeom>
                    <a:pathLst>
                      <a:path h="1027" w="1213">
                        <a:moveTo>
                          <a:pt x="584" y="0"/>
                        </a:moveTo>
                        <a:lnTo>
                          <a:pt x="345" y="232"/>
                        </a:lnTo>
                        <a:lnTo>
                          <a:pt x="202" y="405"/>
                        </a:lnTo>
                        <a:lnTo>
                          <a:pt x="179" y="591"/>
                        </a:lnTo>
                        <a:lnTo>
                          <a:pt x="225" y="779"/>
                        </a:lnTo>
                        <a:lnTo>
                          <a:pt x="390" y="884"/>
                        </a:lnTo>
                        <a:lnTo>
                          <a:pt x="577" y="892"/>
                        </a:lnTo>
                        <a:lnTo>
                          <a:pt x="757" y="810"/>
                        </a:lnTo>
                        <a:lnTo>
                          <a:pt x="898" y="660"/>
                        </a:lnTo>
                        <a:lnTo>
                          <a:pt x="959" y="502"/>
                        </a:lnTo>
                        <a:lnTo>
                          <a:pt x="974" y="336"/>
                        </a:lnTo>
                        <a:lnTo>
                          <a:pt x="847" y="158"/>
                        </a:lnTo>
                        <a:lnTo>
                          <a:pt x="487" y="239"/>
                        </a:lnTo>
                        <a:lnTo>
                          <a:pt x="712" y="66"/>
                        </a:lnTo>
                        <a:lnTo>
                          <a:pt x="862" y="7"/>
                        </a:lnTo>
                        <a:lnTo>
                          <a:pt x="1025" y="51"/>
                        </a:lnTo>
                        <a:lnTo>
                          <a:pt x="1183" y="232"/>
                        </a:lnTo>
                        <a:lnTo>
                          <a:pt x="1213" y="390"/>
                        </a:lnTo>
                        <a:lnTo>
                          <a:pt x="1191" y="561"/>
                        </a:lnTo>
                        <a:lnTo>
                          <a:pt x="1078" y="772"/>
                        </a:lnTo>
                        <a:lnTo>
                          <a:pt x="921" y="922"/>
                        </a:lnTo>
                        <a:lnTo>
                          <a:pt x="666" y="1019"/>
                        </a:lnTo>
                        <a:lnTo>
                          <a:pt x="337" y="1027"/>
                        </a:lnTo>
                        <a:lnTo>
                          <a:pt x="151" y="907"/>
                        </a:lnTo>
                        <a:lnTo>
                          <a:pt x="0" y="682"/>
                        </a:lnTo>
                        <a:lnTo>
                          <a:pt x="31" y="405"/>
                        </a:lnTo>
                        <a:lnTo>
                          <a:pt x="255" y="158"/>
                        </a:lnTo>
                        <a:lnTo>
                          <a:pt x="411" y="15"/>
                        </a:lnTo>
                        <a:lnTo>
                          <a:pt x="584" y="0"/>
                        </a:lnTo>
                        <a:close/>
                      </a:path>
                    </a:pathLst>
                  </a:custGeom>
                  <a:solidFill>
                    <a:srgbClr val="FF99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Freeform 25"/>
                  <xdr:cNvSpPr>
                    <a:spLocks/>
                  </xdr:cNvSpPr>
                </xdr:nvSpPr>
                <xdr:spPr>
                  <a:xfrm>
                    <a:off x="2272" y="1128"/>
                    <a:ext cx="481" cy="478"/>
                  </a:xfrm>
                  <a:custGeom>
                    <a:pathLst>
                      <a:path h="1082" w="1228">
                        <a:moveTo>
                          <a:pt x="620" y="40"/>
                        </a:moveTo>
                        <a:lnTo>
                          <a:pt x="474" y="131"/>
                        </a:lnTo>
                        <a:lnTo>
                          <a:pt x="325" y="249"/>
                        </a:lnTo>
                        <a:lnTo>
                          <a:pt x="228" y="388"/>
                        </a:lnTo>
                        <a:lnTo>
                          <a:pt x="167" y="565"/>
                        </a:lnTo>
                        <a:lnTo>
                          <a:pt x="167" y="726"/>
                        </a:lnTo>
                        <a:lnTo>
                          <a:pt x="230" y="865"/>
                        </a:lnTo>
                        <a:lnTo>
                          <a:pt x="335" y="958"/>
                        </a:lnTo>
                        <a:lnTo>
                          <a:pt x="455" y="998"/>
                        </a:lnTo>
                        <a:lnTo>
                          <a:pt x="590" y="998"/>
                        </a:lnTo>
                        <a:lnTo>
                          <a:pt x="730" y="968"/>
                        </a:lnTo>
                        <a:lnTo>
                          <a:pt x="865" y="882"/>
                        </a:lnTo>
                        <a:lnTo>
                          <a:pt x="981" y="774"/>
                        </a:lnTo>
                        <a:lnTo>
                          <a:pt x="1052" y="633"/>
                        </a:lnTo>
                        <a:lnTo>
                          <a:pt x="1063" y="487"/>
                        </a:lnTo>
                        <a:lnTo>
                          <a:pt x="1055" y="369"/>
                        </a:lnTo>
                        <a:lnTo>
                          <a:pt x="1008" y="270"/>
                        </a:lnTo>
                        <a:lnTo>
                          <a:pt x="930" y="203"/>
                        </a:lnTo>
                        <a:lnTo>
                          <a:pt x="812" y="188"/>
                        </a:lnTo>
                        <a:lnTo>
                          <a:pt x="704" y="219"/>
                        </a:lnTo>
                        <a:lnTo>
                          <a:pt x="629" y="257"/>
                        </a:lnTo>
                        <a:lnTo>
                          <a:pt x="572" y="291"/>
                        </a:lnTo>
                        <a:lnTo>
                          <a:pt x="531" y="257"/>
                        </a:lnTo>
                        <a:lnTo>
                          <a:pt x="707" y="141"/>
                        </a:lnTo>
                        <a:lnTo>
                          <a:pt x="865" y="101"/>
                        </a:lnTo>
                        <a:lnTo>
                          <a:pt x="1025" y="131"/>
                        </a:lnTo>
                        <a:lnTo>
                          <a:pt x="1147" y="230"/>
                        </a:lnTo>
                        <a:lnTo>
                          <a:pt x="1200" y="342"/>
                        </a:lnTo>
                        <a:lnTo>
                          <a:pt x="1228" y="470"/>
                        </a:lnTo>
                        <a:lnTo>
                          <a:pt x="1215" y="626"/>
                        </a:lnTo>
                        <a:lnTo>
                          <a:pt x="1137" y="812"/>
                        </a:lnTo>
                        <a:lnTo>
                          <a:pt x="968" y="954"/>
                        </a:lnTo>
                        <a:lnTo>
                          <a:pt x="751" y="1051"/>
                        </a:lnTo>
                        <a:lnTo>
                          <a:pt x="521" y="1082"/>
                        </a:lnTo>
                        <a:lnTo>
                          <a:pt x="291" y="1051"/>
                        </a:lnTo>
                        <a:lnTo>
                          <a:pt x="156" y="985"/>
                        </a:lnTo>
                        <a:lnTo>
                          <a:pt x="42" y="848"/>
                        </a:lnTo>
                        <a:lnTo>
                          <a:pt x="0" y="677"/>
                        </a:lnTo>
                        <a:lnTo>
                          <a:pt x="21" y="494"/>
                        </a:lnTo>
                        <a:lnTo>
                          <a:pt x="103" y="283"/>
                        </a:lnTo>
                        <a:lnTo>
                          <a:pt x="217" y="144"/>
                        </a:lnTo>
                        <a:lnTo>
                          <a:pt x="369" y="44"/>
                        </a:lnTo>
                        <a:lnTo>
                          <a:pt x="494" y="0"/>
                        </a:lnTo>
                        <a:lnTo>
                          <a:pt x="591" y="4"/>
                        </a:lnTo>
                        <a:lnTo>
                          <a:pt x="620" y="40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Freeform 26"/>
                  <xdr:cNvSpPr>
                    <a:spLocks/>
                  </xdr:cNvSpPr>
                </xdr:nvSpPr>
                <xdr:spPr>
                  <a:xfrm>
                    <a:off x="1733" y="768"/>
                    <a:ext cx="390" cy="283"/>
                  </a:xfrm>
                  <a:custGeom>
                    <a:pathLst>
                      <a:path h="641" w="996">
                        <a:moveTo>
                          <a:pt x="80" y="278"/>
                        </a:moveTo>
                        <a:lnTo>
                          <a:pt x="13" y="380"/>
                        </a:lnTo>
                        <a:lnTo>
                          <a:pt x="0" y="502"/>
                        </a:lnTo>
                        <a:lnTo>
                          <a:pt x="55" y="605"/>
                        </a:lnTo>
                        <a:lnTo>
                          <a:pt x="205" y="641"/>
                        </a:lnTo>
                        <a:lnTo>
                          <a:pt x="374" y="580"/>
                        </a:lnTo>
                        <a:lnTo>
                          <a:pt x="521" y="483"/>
                        </a:lnTo>
                        <a:lnTo>
                          <a:pt x="616" y="350"/>
                        </a:lnTo>
                        <a:lnTo>
                          <a:pt x="690" y="261"/>
                        </a:lnTo>
                        <a:lnTo>
                          <a:pt x="785" y="186"/>
                        </a:lnTo>
                        <a:lnTo>
                          <a:pt x="996" y="42"/>
                        </a:lnTo>
                        <a:lnTo>
                          <a:pt x="967" y="0"/>
                        </a:lnTo>
                        <a:lnTo>
                          <a:pt x="718" y="114"/>
                        </a:lnTo>
                        <a:lnTo>
                          <a:pt x="526" y="217"/>
                        </a:lnTo>
                        <a:lnTo>
                          <a:pt x="374" y="339"/>
                        </a:lnTo>
                        <a:lnTo>
                          <a:pt x="279" y="424"/>
                        </a:lnTo>
                        <a:lnTo>
                          <a:pt x="169" y="472"/>
                        </a:lnTo>
                        <a:lnTo>
                          <a:pt x="97" y="430"/>
                        </a:lnTo>
                        <a:lnTo>
                          <a:pt x="97" y="333"/>
                        </a:lnTo>
                        <a:lnTo>
                          <a:pt x="194" y="242"/>
                        </a:lnTo>
                        <a:lnTo>
                          <a:pt x="327" y="175"/>
                        </a:lnTo>
                        <a:lnTo>
                          <a:pt x="194" y="200"/>
                        </a:lnTo>
                        <a:lnTo>
                          <a:pt x="80" y="278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Freeform 27"/>
                  <xdr:cNvSpPr>
                    <a:spLocks/>
                  </xdr:cNvSpPr>
                </xdr:nvSpPr>
                <xdr:spPr>
                  <a:xfrm>
                    <a:off x="2467" y="828"/>
                    <a:ext cx="369" cy="258"/>
                  </a:xfrm>
                  <a:custGeom>
                    <a:pathLst>
                      <a:path h="586" w="943">
                        <a:moveTo>
                          <a:pt x="211" y="127"/>
                        </a:moveTo>
                        <a:lnTo>
                          <a:pt x="289" y="122"/>
                        </a:lnTo>
                        <a:lnTo>
                          <a:pt x="187" y="194"/>
                        </a:lnTo>
                        <a:lnTo>
                          <a:pt x="150" y="272"/>
                        </a:lnTo>
                        <a:lnTo>
                          <a:pt x="164" y="321"/>
                        </a:lnTo>
                        <a:lnTo>
                          <a:pt x="272" y="327"/>
                        </a:lnTo>
                        <a:lnTo>
                          <a:pt x="827" y="0"/>
                        </a:lnTo>
                        <a:lnTo>
                          <a:pt x="943" y="25"/>
                        </a:lnTo>
                        <a:lnTo>
                          <a:pt x="803" y="133"/>
                        </a:lnTo>
                        <a:lnTo>
                          <a:pt x="664" y="272"/>
                        </a:lnTo>
                        <a:lnTo>
                          <a:pt x="586" y="405"/>
                        </a:lnTo>
                        <a:lnTo>
                          <a:pt x="436" y="527"/>
                        </a:lnTo>
                        <a:lnTo>
                          <a:pt x="289" y="580"/>
                        </a:lnTo>
                        <a:lnTo>
                          <a:pt x="128" y="586"/>
                        </a:lnTo>
                        <a:lnTo>
                          <a:pt x="0" y="460"/>
                        </a:lnTo>
                        <a:lnTo>
                          <a:pt x="25" y="266"/>
                        </a:lnTo>
                        <a:lnTo>
                          <a:pt x="114" y="175"/>
                        </a:lnTo>
                        <a:lnTo>
                          <a:pt x="211" y="127"/>
                        </a:lnTo>
                        <a:close/>
                      </a:path>
                    </a:pathLst>
                  </a:custGeom>
                  <a:solidFill>
                    <a:srgbClr val="FF99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" name="Freeform 28"/>
                  <xdr:cNvSpPr>
                    <a:spLocks/>
                  </xdr:cNvSpPr>
                </xdr:nvSpPr>
                <xdr:spPr>
                  <a:xfrm>
                    <a:off x="2455" y="779"/>
                    <a:ext cx="390" cy="284"/>
                  </a:xfrm>
                  <a:custGeom>
                    <a:pathLst>
                      <a:path h="640" w="996">
                        <a:moveTo>
                          <a:pt x="78" y="277"/>
                        </a:moveTo>
                        <a:lnTo>
                          <a:pt x="11" y="380"/>
                        </a:lnTo>
                        <a:lnTo>
                          <a:pt x="0" y="502"/>
                        </a:lnTo>
                        <a:lnTo>
                          <a:pt x="55" y="604"/>
                        </a:lnTo>
                        <a:lnTo>
                          <a:pt x="205" y="640"/>
                        </a:lnTo>
                        <a:lnTo>
                          <a:pt x="374" y="580"/>
                        </a:lnTo>
                        <a:lnTo>
                          <a:pt x="519" y="483"/>
                        </a:lnTo>
                        <a:lnTo>
                          <a:pt x="616" y="350"/>
                        </a:lnTo>
                        <a:lnTo>
                          <a:pt x="688" y="258"/>
                        </a:lnTo>
                        <a:lnTo>
                          <a:pt x="785" y="186"/>
                        </a:lnTo>
                        <a:lnTo>
                          <a:pt x="996" y="41"/>
                        </a:lnTo>
                        <a:lnTo>
                          <a:pt x="966" y="0"/>
                        </a:lnTo>
                        <a:lnTo>
                          <a:pt x="719" y="114"/>
                        </a:lnTo>
                        <a:lnTo>
                          <a:pt x="525" y="216"/>
                        </a:lnTo>
                        <a:lnTo>
                          <a:pt x="374" y="338"/>
                        </a:lnTo>
                        <a:lnTo>
                          <a:pt x="277" y="422"/>
                        </a:lnTo>
                        <a:lnTo>
                          <a:pt x="169" y="471"/>
                        </a:lnTo>
                        <a:lnTo>
                          <a:pt x="97" y="429"/>
                        </a:lnTo>
                        <a:lnTo>
                          <a:pt x="97" y="332"/>
                        </a:lnTo>
                        <a:lnTo>
                          <a:pt x="194" y="241"/>
                        </a:lnTo>
                        <a:lnTo>
                          <a:pt x="327" y="175"/>
                        </a:lnTo>
                        <a:lnTo>
                          <a:pt x="194" y="199"/>
                        </a:lnTo>
                        <a:lnTo>
                          <a:pt x="78" y="277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Freeform 29"/>
                  <xdr:cNvSpPr>
                    <a:spLocks/>
                  </xdr:cNvSpPr>
                </xdr:nvSpPr>
                <xdr:spPr>
                  <a:xfrm>
                    <a:off x="3188" y="840"/>
                    <a:ext cx="368" cy="259"/>
                  </a:xfrm>
                  <a:custGeom>
                    <a:pathLst>
                      <a:path h="585" w="942">
                        <a:moveTo>
                          <a:pt x="211" y="127"/>
                        </a:moveTo>
                        <a:lnTo>
                          <a:pt x="289" y="121"/>
                        </a:lnTo>
                        <a:lnTo>
                          <a:pt x="187" y="194"/>
                        </a:lnTo>
                        <a:lnTo>
                          <a:pt x="151" y="272"/>
                        </a:lnTo>
                        <a:lnTo>
                          <a:pt x="162" y="321"/>
                        </a:lnTo>
                        <a:lnTo>
                          <a:pt x="270" y="327"/>
                        </a:lnTo>
                        <a:lnTo>
                          <a:pt x="827" y="0"/>
                        </a:lnTo>
                        <a:lnTo>
                          <a:pt x="942" y="24"/>
                        </a:lnTo>
                        <a:lnTo>
                          <a:pt x="803" y="133"/>
                        </a:lnTo>
                        <a:lnTo>
                          <a:pt x="664" y="272"/>
                        </a:lnTo>
                        <a:lnTo>
                          <a:pt x="586" y="405"/>
                        </a:lnTo>
                        <a:lnTo>
                          <a:pt x="434" y="526"/>
                        </a:lnTo>
                        <a:lnTo>
                          <a:pt x="289" y="580"/>
                        </a:lnTo>
                        <a:lnTo>
                          <a:pt x="126" y="585"/>
                        </a:lnTo>
                        <a:lnTo>
                          <a:pt x="0" y="460"/>
                        </a:lnTo>
                        <a:lnTo>
                          <a:pt x="23" y="266"/>
                        </a:lnTo>
                        <a:lnTo>
                          <a:pt x="115" y="175"/>
                        </a:lnTo>
                        <a:lnTo>
                          <a:pt x="211" y="127"/>
                        </a:lnTo>
                        <a:close/>
                      </a:path>
                    </a:pathLst>
                  </a:custGeom>
                  <a:solidFill>
                    <a:srgbClr val="FF99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Freeform 30"/>
                  <xdr:cNvSpPr>
                    <a:spLocks/>
                  </xdr:cNvSpPr>
                </xdr:nvSpPr>
                <xdr:spPr>
                  <a:xfrm>
                    <a:off x="3177" y="792"/>
                    <a:ext cx="389" cy="283"/>
                  </a:xfrm>
                  <a:custGeom>
                    <a:pathLst>
                      <a:path h="641" w="996">
                        <a:moveTo>
                          <a:pt x="78" y="278"/>
                        </a:moveTo>
                        <a:lnTo>
                          <a:pt x="11" y="381"/>
                        </a:lnTo>
                        <a:lnTo>
                          <a:pt x="0" y="502"/>
                        </a:lnTo>
                        <a:lnTo>
                          <a:pt x="53" y="605"/>
                        </a:lnTo>
                        <a:lnTo>
                          <a:pt x="205" y="641"/>
                        </a:lnTo>
                        <a:lnTo>
                          <a:pt x="375" y="580"/>
                        </a:lnTo>
                        <a:lnTo>
                          <a:pt x="519" y="483"/>
                        </a:lnTo>
                        <a:lnTo>
                          <a:pt x="616" y="350"/>
                        </a:lnTo>
                        <a:lnTo>
                          <a:pt x="688" y="259"/>
                        </a:lnTo>
                        <a:lnTo>
                          <a:pt x="785" y="187"/>
                        </a:lnTo>
                        <a:lnTo>
                          <a:pt x="996" y="42"/>
                        </a:lnTo>
                        <a:lnTo>
                          <a:pt x="966" y="0"/>
                        </a:lnTo>
                        <a:lnTo>
                          <a:pt x="719" y="114"/>
                        </a:lnTo>
                        <a:lnTo>
                          <a:pt x="525" y="217"/>
                        </a:lnTo>
                        <a:lnTo>
                          <a:pt x="375" y="339"/>
                        </a:lnTo>
                        <a:lnTo>
                          <a:pt x="278" y="422"/>
                        </a:lnTo>
                        <a:lnTo>
                          <a:pt x="169" y="472"/>
                        </a:lnTo>
                        <a:lnTo>
                          <a:pt x="97" y="430"/>
                        </a:lnTo>
                        <a:lnTo>
                          <a:pt x="97" y="333"/>
                        </a:lnTo>
                        <a:lnTo>
                          <a:pt x="192" y="242"/>
                        </a:lnTo>
                        <a:lnTo>
                          <a:pt x="325" y="175"/>
                        </a:lnTo>
                        <a:lnTo>
                          <a:pt x="192" y="200"/>
                        </a:lnTo>
                        <a:lnTo>
                          <a:pt x="78" y="278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" name="Freeform 31"/>
                  <xdr:cNvSpPr>
                    <a:spLocks/>
                  </xdr:cNvSpPr>
                </xdr:nvSpPr>
                <xdr:spPr>
                  <a:xfrm>
                    <a:off x="1392" y="1553"/>
                    <a:ext cx="2244" cy="463"/>
                  </a:xfrm>
                  <a:custGeom>
                    <a:pathLst>
                      <a:path h="1048" w="5736">
                        <a:moveTo>
                          <a:pt x="0" y="169"/>
                        </a:moveTo>
                        <a:lnTo>
                          <a:pt x="367" y="557"/>
                        </a:lnTo>
                        <a:lnTo>
                          <a:pt x="648" y="727"/>
                        </a:lnTo>
                        <a:lnTo>
                          <a:pt x="846" y="765"/>
                        </a:lnTo>
                        <a:lnTo>
                          <a:pt x="1139" y="679"/>
                        </a:lnTo>
                        <a:lnTo>
                          <a:pt x="1365" y="481"/>
                        </a:lnTo>
                        <a:lnTo>
                          <a:pt x="1703" y="114"/>
                        </a:lnTo>
                        <a:lnTo>
                          <a:pt x="1873" y="0"/>
                        </a:lnTo>
                        <a:lnTo>
                          <a:pt x="2051" y="48"/>
                        </a:lnTo>
                        <a:lnTo>
                          <a:pt x="2184" y="160"/>
                        </a:lnTo>
                        <a:lnTo>
                          <a:pt x="2373" y="434"/>
                        </a:lnTo>
                        <a:lnTo>
                          <a:pt x="2513" y="586"/>
                        </a:lnTo>
                        <a:lnTo>
                          <a:pt x="2656" y="660"/>
                        </a:lnTo>
                        <a:lnTo>
                          <a:pt x="2778" y="670"/>
                        </a:lnTo>
                        <a:lnTo>
                          <a:pt x="2947" y="586"/>
                        </a:lnTo>
                        <a:lnTo>
                          <a:pt x="3183" y="341"/>
                        </a:lnTo>
                        <a:lnTo>
                          <a:pt x="3361" y="150"/>
                        </a:lnTo>
                        <a:lnTo>
                          <a:pt x="3540" y="29"/>
                        </a:lnTo>
                        <a:lnTo>
                          <a:pt x="3728" y="0"/>
                        </a:lnTo>
                        <a:lnTo>
                          <a:pt x="3917" y="105"/>
                        </a:lnTo>
                        <a:lnTo>
                          <a:pt x="4124" y="331"/>
                        </a:lnTo>
                        <a:lnTo>
                          <a:pt x="4359" y="603"/>
                        </a:lnTo>
                        <a:lnTo>
                          <a:pt x="4540" y="708"/>
                        </a:lnTo>
                        <a:lnTo>
                          <a:pt x="4719" y="689"/>
                        </a:lnTo>
                        <a:lnTo>
                          <a:pt x="4955" y="576"/>
                        </a:lnTo>
                        <a:lnTo>
                          <a:pt x="5217" y="331"/>
                        </a:lnTo>
                        <a:lnTo>
                          <a:pt x="5519" y="19"/>
                        </a:lnTo>
                        <a:lnTo>
                          <a:pt x="5736" y="38"/>
                        </a:lnTo>
                        <a:lnTo>
                          <a:pt x="5377" y="415"/>
                        </a:lnTo>
                        <a:lnTo>
                          <a:pt x="5160" y="660"/>
                        </a:lnTo>
                        <a:lnTo>
                          <a:pt x="4917" y="858"/>
                        </a:lnTo>
                        <a:lnTo>
                          <a:pt x="4709" y="972"/>
                        </a:lnTo>
                        <a:lnTo>
                          <a:pt x="4531" y="981"/>
                        </a:lnTo>
                        <a:lnTo>
                          <a:pt x="4331" y="924"/>
                        </a:lnTo>
                        <a:lnTo>
                          <a:pt x="4190" y="717"/>
                        </a:lnTo>
                        <a:lnTo>
                          <a:pt x="3993" y="424"/>
                        </a:lnTo>
                        <a:lnTo>
                          <a:pt x="3823" y="217"/>
                        </a:lnTo>
                        <a:lnTo>
                          <a:pt x="3700" y="160"/>
                        </a:lnTo>
                        <a:lnTo>
                          <a:pt x="3578" y="188"/>
                        </a:lnTo>
                        <a:lnTo>
                          <a:pt x="3456" y="284"/>
                        </a:lnTo>
                        <a:lnTo>
                          <a:pt x="3230" y="500"/>
                        </a:lnTo>
                        <a:lnTo>
                          <a:pt x="2966" y="812"/>
                        </a:lnTo>
                        <a:lnTo>
                          <a:pt x="2768" y="981"/>
                        </a:lnTo>
                        <a:lnTo>
                          <a:pt x="2570" y="991"/>
                        </a:lnTo>
                        <a:lnTo>
                          <a:pt x="2401" y="858"/>
                        </a:lnTo>
                        <a:lnTo>
                          <a:pt x="2213" y="567"/>
                        </a:lnTo>
                        <a:lnTo>
                          <a:pt x="2034" y="217"/>
                        </a:lnTo>
                        <a:lnTo>
                          <a:pt x="1930" y="150"/>
                        </a:lnTo>
                        <a:lnTo>
                          <a:pt x="1789" y="198"/>
                        </a:lnTo>
                        <a:lnTo>
                          <a:pt x="1646" y="350"/>
                        </a:lnTo>
                        <a:lnTo>
                          <a:pt x="1468" y="622"/>
                        </a:lnTo>
                        <a:lnTo>
                          <a:pt x="1270" y="812"/>
                        </a:lnTo>
                        <a:lnTo>
                          <a:pt x="1110" y="962"/>
                        </a:lnTo>
                        <a:lnTo>
                          <a:pt x="922" y="1038"/>
                        </a:lnTo>
                        <a:lnTo>
                          <a:pt x="715" y="1048"/>
                        </a:lnTo>
                        <a:lnTo>
                          <a:pt x="489" y="915"/>
                        </a:lnTo>
                        <a:lnTo>
                          <a:pt x="234" y="670"/>
                        </a:lnTo>
                        <a:lnTo>
                          <a:pt x="65" y="405"/>
                        </a:lnTo>
                        <a:lnTo>
                          <a:pt x="0" y="169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noFill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34" name="Oval 32"/>
                <xdr:cNvSpPr>
                  <a:spLocks/>
                </xdr:cNvSpPr>
              </xdr:nvSpPr>
              <xdr:spPr>
                <a:xfrm>
                  <a:off x="1655" y="1261"/>
                  <a:ext cx="375" cy="339"/>
                </a:xfrm>
                <a:prstGeom prst="ellipse">
                  <a:avLst/>
                </a:prstGeom>
                <a:solidFill>
                  <a:srgbClr val="FF99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Oval 33"/>
                <xdr:cNvSpPr>
                  <a:spLocks/>
                </xdr:cNvSpPr>
              </xdr:nvSpPr>
              <xdr:spPr>
                <a:xfrm>
                  <a:off x="2331" y="1218"/>
                  <a:ext cx="375" cy="340"/>
                </a:xfrm>
                <a:prstGeom prst="ellipse">
                  <a:avLst/>
                </a:prstGeom>
                <a:solidFill>
                  <a:srgbClr val="FF99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Oval 34"/>
                <xdr:cNvSpPr>
                  <a:spLocks/>
                </xdr:cNvSpPr>
              </xdr:nvSpPr>
              <xdr:spPr>
                <a:xfrm>
                  <a:off x="3007" y="1261"/>
                  <a:ext cx="375" cy="339"/>
                </a:xfrm>
                <a:prstGeom prst="ellipse">
                  <a:avLst/>
                </a:prstGeom>
                <a:solidFill>
                  <a:srgbClr val="FF99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sp>
          <xdr:nvSpPr>
            <xdr:cNvPr id="37" name="Rectangle 35"/>
            <xdr:cNvSpPr>
              <a:spLocks/>
            </xdr:cNvSpPr>
          </xdr:nvSpPr>
          <xdr:spPr>
            <a:xfrm>
              <a:off x="3552" y="1344"/>
              <a:ext cx="864" cy="19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36"/>
            <xdr:cNvSpPr>
              <a:spLocks/>
            </xdr:cNvSpPr>
          </xdr:nvSpPr>
          <xdr:spPr>
            <a:xfrm>
              <a:off x="3552" y="384"/>
              <a:ext cx="2112" cy="38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Straight Connector 16"/>
          <xdr:cNvSpPr>
            <a:spLocks/>
          </xdr:cNvSpPr>
        </xdr:nvSpPr>
        <xdr:spPr>
          <a:xfrm rot="16200000" flipH="1">
            <a:off x="4485" y="2359"/>
            <a:ext cx="299" cy="191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traight Connector 6"/>
          <xdr:cNvSpPr>
            <a:spLocks/>
          </xdr:cNvSpPr>
        </xdr:nvSpPr>
        <xdr:spPr>
          <a:xfrm>
            <a:off x="3717" y="1975"/>
            <a:ext cx="630" cy="315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Straight Connector 27"/>
          <xdr:cNvSpPr>
            <a:spLocks/>
          </xdr:cNvSpPr>
        </xdr:nvSpPr>
        <xdr:spPr>
          <a:xfrm rot="5400000">
            <a:off x="4269" y="2191"/>
            <a:ext cx="432" cy="96"/>
          </a:xfrm>
          <a:prstGeom prst="line">
            <a:avLst/>
          </a:prstGeom>
          <a:noFill/>
          <a:ln w="28575" cmpd="sng">
            <a:solidFill>
              <a:srgbClr val="FF33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"/>
          <xdr:cNvSpPr>
            <a:spLocks/>
          </xdr:cNvSpPr>
        </xdr:nvSpPr>
        <xdr:spPr>
          <a:xfrm>
            <a:off x="4413" y="2311"/>
            <a:ext cx="72" cy="72"/>
          </a:xfrm>
          <a:prstGeom prst="ellipse">
            <a:avLst/>
          </a:prstGeom>
          <a:solidFill>
            <a:srgbClr val="FF3399"/>
          </a:solidFill>
          <a:ln w="9525" cmpd="sng">
            <a:solidFill>
              <a:srgbClr val="FF66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43" name="Rectangle 41"/>
          <xdr:cNvSpPr>
            <a:spLocks/>
          </xdr:cNvSpPr>
        </xdr:nvSpPr>
        <xdr:spPr>
          <a:xfrm>
            <a:off x="3107" y="1937"/>
            <a:ext cx="952" cy="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4"/>
          <xdr:cNvSpPr>
            <a:spLocks/>
          </xdr:cNvSpPr>
        </xdr:nvSpPr>
        <xdr:spPr>
          <a:xfrm>
            <a:off x="4509" y="1975"/>
            <a:ext cx="72" cy="72"/>
          </a:xfrm>
          <a:prstGeom prst="ellipse">
            <a:avLst/>
          </a:prstGeom>
          <a:solidFill>
            <a:srgbClr val="FF3399"/>
          </a:solidFill>
          <a:ln w="9525" cmpd="sng">
            <a:solidFill>
              <a:srgbClr val="FF66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al.g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adianblower.com/axialfan/index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workbookViewId="0" topLeftCell="O1">
      <selection activeCell="Y4" sqref="Y4"/>
    </sheetView>
  </sheetViews>
  <sheetFormatPr defaultColWidth="9.140625" defaultRowHeight="12.75"/>
  <cols>
    <col min="1" max="1" width="18.28125" style="0" customWidth="1"/>
    <col min="2" max="4" width="11.57421875" style="0" customWidth="1"/>
    <col min="5" max="5" width="13.28125" style="0" customWidth="1"/>
    <col min="6" max="8" width="11.57421875" style="0" customWidth="1"/>
    <col min="23" max="24" width="11.00390625" style="0" customWidth="1"/>
    <col min="25" max="31" width="11.57421875" style="0" customWidth="1"/>
  </cols>
  <sheetData>
    <row r="1" ht="15.75">
      <c r="A1" s="9" t="s">
        <v>0</v>
      </c>
    </row>
    <row r="2" spans="1:22" ht="15.75">
      <c r="A2" s="9" t="s">
        <v>500</v>
      </c>
      <c r="K2" s="21" t="s">
        <v>547</v>
      </c>
      <c r="P2" s="21" t="s">
        <v>546</v>
      </c>
      <c r="V2" t="s">
        <v>545</v>
      </c>
    </row>
    <row r="3" spans="1:25" ht="15.75">
      <c r="A3" s="9"/>
      <c r="V3" t="s">
        <v>489</v>
      </c>
      <c r="X3" t="s">
        <v>509</v>
      </c>
      <c r="Y3" t="s">
        <v>584</v>
      </c>
    </row>
    <row r="4" spans="1:14" ht="25.5">
      <c r="A4" s="165" t="s">
        <v>503</v>
      </c>
      <c r="B4" s="164" t="s">
        <v>504</v>
      </c>
      <c r="C4" s="164" t="s">
        <v>485</v>
      </c>
      <c r="D4" s="164" t="s">
        <v>486</v>
      </c>
      <c r="E4" s="164" t="s">
        <v>488</v>
      </c>
      <c r="F4" s="164" t="s">
        <v>540</v>
      </c>
      <c r="G4" s="164" t="s">
        <v>489</v>
      </c>
      <c r="H4" s="240" t="s">
        <v>490</v>
      </c>
      <c r="L4" s="67" t="s">
        <v>518</v>
      </c>
      <c r="M4" s="67" t="s">
        <v>519</v>
      </c>
      <c r="N4" s="67" t="s">
        <v>548</v>
      </c>
    </row>
    <row r="5" spans="1:14" ht="12.75">
      <c r="A5" s="159" t="s">
        <v>482</v>
      </c>
      <c r="B5" s="249">
        <f>'Summary Data Centre'!C5</f>
        <v>1250000</v>
      </c>
      <c r="C5" s="249">
        <f>B5</f>
        <v>1250000</v>
      </c>
      <c r="D5" s="249">
        <f>C5</f>
        <v>1250000</v>
      </c>
      <c r="E5" s="249">
        <f>D5</f>
        <v>1250000</v>
      </c>
      <c r="F5" s="249">
        <f>E5</f>
        <v>1250000</v>
      </c>
      <c r="G5" s="249">
        <f>E5</f>
        <v>1250000</v>
      </c>
      <c r="H5" s="250">
        <f>G5</f>
        <v>1250000</v>
      </c>
      <c r="L5" s="87" t="s">
        <v>543</v>
      </c>
      <c r="M5" s="87" t="s">
        <v>543</v>
      </c>
      <c r="N5" s="87" t="s">
        <v>543</v>
      </c>
    </row>
    <row r="6" spans="1:14" ht="12.75">
      <c r="A6" s="159" t="s">
        <v>483</v>
      </c>
      <c r="B6" s="249">
        <f>'Summary Data Centre'!C6</f>
        <v>516826.2879788639</v>
      </c>
      <c r="C6" s="249">
        <f aca="true" t="shared" si="0" ref="C6:H9">B6</f>
        <v>516826.2879788639</v>
      </c>
      <c r="D6" s="249">
        <f t="shared" si="0"/>
        <v>516826.2879788639</v>
      </c>
      <c r="E6" s="249">
        <f t="shared" si="0"/>
        <v>516826.2879788639</v>
      </c>
      <c r="F6" s="249">
        <f>E6</f>
        <v>516826.2879788639</v>
      </c>
      <c r="G6" s="249">
        <f>E6</f>
        <v>516826.2879788639</v>
      </c>
      <c r="H6" s="250">
        <f t="shared" si="0"/>
        <v>516826.2879788639</v>
      </c>
      <c r="J6" s="2"/>
      <c r="K6" s="45" t="s">
        <v>516</v>
      </c>
      <c r="L6" s="256">
        <f>'Summary Data Centre'!G42</f>
        <v>13.11461502729602</v>
      </c>
      <c r="M6" s="256">
        <f>-'Summary Data Centre'!G51</f>
        <v>-11</v>
      </c>
      <c r="N6" s="256">
        <f>L6+M6</f>
        <v>2.1146150272960202</v>
      </c>
    </row>
    <row r="7" spans="1:14" ht="12.75">
      <c r="A7" s="159" t="s">
        <v>434</v>
      </c>
      <c r="B7" s="249">
        <f>'Summary Data Centre'!C7</f>
        <v>347649.6791583392</v>
      </c>
      <c r="C7" s="249">
        <f t="shared" si="0"/>
        <v>347649.6791583392</v>
      </c>
      <c r="D7" s="249">
        <f t="shared" si="0"/>
        <v>347649.6791583392</v>
      </c>
      <c r="E7" s="249">
        <f t="shared" si="0"/>
        <v>347649.6791583392</v>
      </c>
      <c r="F7" s="249">
        <f>E7</f>
        <v>347649.6791583392</v>
      </c>
      <c r="G7" s="249">
        <f>E7</f>
        <v>347649.6791583392</v>
      </c>
      <c r="H7" s="250">
        <f t="shared" si="0"/>
        <v>347649.6791583392</v>
      </c>
      <c r="J7" s="2"/>
      <c r="K7" s="45" t="s">
        <v>485</v>
      </c>
      <c r="L7" s="256">
        <f>'Summary Data Centre'!G43</f>
        <v>16.31749149322414</v>
      </c>
      <c r="M7" s="256">
        <f>-'Summary Data Centre'!G52</f>
        <v>0</v>
      </c>
      <c r="N7" s="256">
        <f aca="true" t="shared" si="1" ref="N7:N12">L7+M7</f>
        <v>16.31749149322414</v>
      </c>
    </row>
    <row r="8" spans="1:14" ht="12.75">
      <c r="A8" s="159" t="s">
        <v>502</v>
      </c>
      <c r="B8" s="249">
        <v>1468444.0879537102</v>
      </c>
      <c r="C8" s="249">
        <v>336088.817590742</v>
      </c>
      <c r="D8" s="249">
        <v>2600799.3583166786</v>
      </c>
      <c r="E8" s="249">
        <v>336088.817590742</v>
      </c>
      <c r="F8" s="249">
        <f>E8</f>
        <v>336088.817590742</v>
      </c>
      <c r="G8" s="249">
        <v>336088.817590742</v>
      </c>
      <c r="H8" s="250">
        <v>5148598.716633357</v>
      </c>
      <c r="J8" s="2"/>
      <c r="K8" s="45" t="s">
        <v>471</v>
      </c>
      <c r="L8" s="256">
        <f>'Summary Data Centre'!G44</f>
        <v>44.59924333818223</v>
      </c>
      <c r="M8" s="256">
        <f>-'Summary Data Centre'!G53</f>
        <v>-4.408234451996194</v>
      </c>
      <c r="N8" s="256">
        <f t="shared" si="1"/>
        <v>40.19100888618603</v>
      </c>
    </row>
    <row r="9" spans="1:14" ht="12.75">
      <c r="A9" s="159" t="s">
        <v>484</v>
      </c>
      <c r="B9" s="249">
        <f>'Summary Data Centre'!C9</f>
        <v>922095.7727873183</v>
      </c>
      <c r="C9" s="249">
        <f t="shared" si="0"/>
        <v>922095.7727873183</v>
      </c>
      <c r="D9" s="249">
        <f t="shared" si="0"/>
        <v>922095.7727873183</v>
      </c>
      <c r="E9" s="249">
        <f t="shared" si="0"/>
        <v>922095.7727873183</v>
      </c>
      <c r="F9" s="249">
        <f>E9</f>
        <v>922095.7727873183</v>
      </c>
      <c r="G9" s="249">
        <f>E9</f>
        <v>922095.7727873183</v>
      </c>
      <c r="H9" s="250">
        <f t="shared" si="0"/>
        <v>922095.7727873183</v>
      </c>
      <c r="J9" s="2"/>
      <c r="K9" s="45" t="s">
        <v>517</v>
      </c>
      <c r="L9" s="256">
        <f>'Summary Data Centre'!G45</f>
        <v>187.65477077002308</v>
      </c>
      <c r="M9" s="256">
        <f>-'Summary Data Centre'!G54</f>
        <v>-4.5</v>
      </c>
      <c r="N9" s="256">
        <f t="shared" si="1"/>
        <v>183.15477077002308</v>
      </c>
    </row>
    <row r="10" spans="1:14" ht="12.75">
      <c r="A10" s="159" t="s">
        <v>508</v>
      </c>
      <c r="B10" s="249">
        <f>'Summary Data Centre'!E10</f>
        <v>177830.66533548618</v>
      </c>
      <c r="C10" s="249">
        <f>'Summary Data Centre'!F10</f>
        <v>1372235.7646141774</v>
      </c>
      <c r="D10" s="249">
        <f>'Summary Data Centre'!G10</f>
        <v>3379903.083292701</v>
      </c>
      <c r="E10" s="249">
        <f>'Summary Data Centre'!H10</f>
        <v>15402583.60267586</v>
      </c>
      <c r="F10" s="249">
        <f>'Summary Data Centre'!I10</f>
        <v>7268397.636311226</v>
      </c>
      <c r="G10" s="249">
        <f>'Summary Data Centre'!J10</f>
        <v>301612.9691639887</v>
      </c>
      <c r="H10" s="250">
        <f>'Summary Data Centre'!K10</f>
        <v>22987986.60449282</v>
      </c>
      <c r="J10" s="2"/>
      <c r="K10" s="45" t="s">
        <v>549</v>
      </c>
      <c r="L10" s="256">
        <f>'Energy costs'!F45</f>
        <v>90.92976641351818</v>
      </c>
      <c r="M10" s="256">
        <f>-'Energy costs'!F52</f>
        <v>-4.5</v>
      </c>
      <c r="N10" s="256">
        <f t="shared" si="1"/>
        <v>86.42976641351818</v>
      </c>
    </row>
    <row r="11" spans="1:14" ht="12.75">
      <c r="A11" s="161" t="s">
        <v>299</v>
      </c>
      <c r="B11" s="251">
        <f aca="true" t="shared" si="2" ref="B11:H11">SUM(B5:B10)</f>
        <v>4682846.493213719</v>
      </c>
      <c r="C11" s="251">
        <f t="shared" si="2"/>
        <v>4744896.322129441</v>
      </c>
      <c r="D11" s="251">
        <f t="shared" si="2"/>
        <v>9017274.181533901</v>
      </c>
      <c r="E11" s="251">
        <f t="shared" si="2"/>
        <v>18775244.160191126</v>
      </c>
      <c r="F11" s="251">
        <f t="shared" si="2"/>
        <v>10641058.19382649</v>
      </c>
      <c r="G11" s="251">
        <f t="shared" si="2"/>
        <v>3674273.5266792523</v>
      </c>
      <c r="H11" s="252">
        <f t="shared" si="2"/>
        <v>31173157.0610507</v>
      </c>
      <c r="J11" s="2"/>
      <c r="K11" s="45" t="s">
        <v>489</v>
      </c>
      <c r="L11" s="256">
        <f>'Summary Data Centre'!G47</f>
        <v>13.727524842608313</v>
      </c>
      <c r="M11" s="256">
        <f>-'Summary Data Centre'!G56</f>
        <v>-10.140993150684931</v>
      </c>
      <c r="N11" s="256">
        <f t="shared" si="1"/>
        <v>3.5865316919233816</v>
      </c>
    </row>
    <row r="12" spans="1:14" ht="12.75">
      <c r="A12" s="116" t="s">
        <v>510</v>
      </c>
      <c r="B12" s="52"/>
      <c r="C12" s="52"/>
      <c r="D12" s="52"/>
      <c r="E12" s="52"/>
      <c r="F12" s="52"/>
      <c r="G12" s="52"/>
      <c r="H12" s="52"/>
      <c r="J12" s="2"/>
      <c r="K12" s="45" t="s">
        <v>212</v>
      </c>
      <c r="L12" s="256">
        <f>'Summary Data Centre'!G48</f>
        <v>273.35410250776283</v>
      </c>
      <c r="M12" s="256">
        <f>-'Summary Data Centre'!G57</f>
        <v>0</v>
      </c>
      <c r="N12" s="256">
        <f t="shared" si="1"/>
        <v>273.35410250776283</v>
      </c>
    </row>
    <row r="13" spans="1:8" ht="12.75">
      <c r="A13" s="58" t="s">
        <v>511</v>
      </c>
      <c r="B13" s="52">
        <f>'Summary Data Centre'!E11</f>
        <v>1102886.6653354862</v>
      </c>
      <c r="C13" s="52">
        <f>'Summary Data Centre'!F11</f>
        <v>1372235.7646141774</v>
      </c>
      <c r="D13" s="52">
        <f>'Summary Data Centre'!G11</f>
        <v>3750617.9677677727</v>
      </c>
      <c r="E13" s="52">
        <f>'Summary Data Centre'!H11</f>
        <v>15781015.60267586</v>
      </c>
      <c r="F13" s="52">
        <f>'Summary Data Centre'!I11</f>
        <v>7646829.636311226</v>
      </c>
      <c r="G13" s="52">
        <f>'Summary Data Centre'!J11</f>
        <v>1154429.9291639887</v>
      </c>
      <c r="H13" s="52">
        <f>'Summary Data Centre'!K11</f>
        <v>22987986.60449282</v>
      </c>
    </row>
    <row r="14" spans="1:8" ht="12.75">
      <c r="A14" s="58" t="s">
        <v>491</v>
      </c>
      <c r="B14" s="52">
        <f>'Summary Data Centre'!E12</f>
        <v>-925056</v>
      </c>
      <c r="C14" s="52">
        <f>'Summary Data Centre'!F12</f>
        <v>0</v>
      </c>
      <c r="D14" s="52">
        <f>'Summary Data Centre'!G12</f>
        <v>-370714.88447507186</v>
      </c>
      <c r="E14" s="52">
        <f>'Summary Data Centre'!H12</f>
        <v>-378432</v>
      </c>
      <c r="F14" s="52">
        <f>'Summary Data Centre'!I12</f>
        <v>-378432</v>
      </c>
      <c r="G14" s="52">
        <f>'Summary Data Centre'!J12</f>
        <v>-852816.96</v>
      </c>
      <c r="H14" s="52">
        <f>'Summary Data Centre'!K12</f>
        <v>0</v>
      </c>
    </row>
    <row r="26" ht="12.75">
      <c r="Q26" s="45"/>
    </row>
    <row r="27" ht="12.75">
      <c r="Q27" s="45"/>
    </row>
    <row r="28" ht="12.75">
      <c r="Q28" s="45"/>
    </row>
    <row r="29" ht="12.75">
      <c r="Q29" s="45"/>
    </row>
    <row r="30" ht="12.75">
      <c r="Q30" s="45"/>
    </row>
    <row r="31" ht="12.75">
      <c r="Q31" s="45"/>
    </row>
    <row r="32" ht="12.75">
      <c r="Q32" s="45"/>
    </row>
    <row r="94" spans="1:8" ht="12.75">
      <c r="A94" t="s">
        <v>506</v>
      </c>
      <c r="B94" s="52">
        <f aca="true" t="shared" si="3" ref="B94:H94">B5</f>
        <v>1250000</v>
      </c>
      <c r="C94" s="52">
        <f t="shared" si="3"/>
        <v>1250000</v>
      </c>
      <c r="D94" s="52">
        <f t="shared" si="3"/>
        <v>1250000</v>
      </c>
      <c r="E94" s="52">
        <f t="shared" si="3"/>
        <v>1250000</v>
      </c>
      <c r="F94" s="52">
        <f t="shared" si="3"/>
        <v>1250000</v>
      </c>
      <c r="G94" s="52">
        <f t="shared" si="3"/>
        <v>1250000</v>
      </c>
      <c r="H94" s="52">
        <f t="shared" si="3"/>
        <v>1250000</v>
      </c>
    </row>
    <row r="95" spans="1:8" ht="12.75">
      <c r="A95" t="s">
        <v>507</v>
      </c>
      <c r="B95" s="52">
        <f aca="true" t="shared" si="4" ref="B95:H95">B6+B7+B8</f>
        <v>2332920.0550909135</v>
      </c>
      <c r="C95" s="52">
        <f t="shared" si="4"/>
        <v>1200564.784727945</v>
      </c>
      <c r="D95" s="52">
        <f t="shared" si="4"/>
        <v>3465275.3254538816</v>
      </c>
      <c r="E95" s="52">
        <f t="shared" si="4"/>
        <v>1200564.784727945</v>
      </c>
      <c r="F95" s="52">
        <f t="shared" si="4"/>
        <v>1200564.784727945</v>
      </c>
      <c r="G95" s="52">
        <f t="shared" si="4"/>
        <v>1200564.784727945</v>
      </c>
      <c r="H95" s="52">
        <f t="shared" si="4"/>
        <v>6013074.68377056</v>
      </c>
    </row>
    <row r="96" spans="1:8" ht="12.75">
      <c r="A96" t="s">
        <v>484</v>
      </c>
      <c r="B96" s="52">
        <f aca="true" t="shared" si="5" ref="B96:H97">B9</f>
        <v>922095.7727873183</v>
      </c>
      <c r="C96" s="52">
        <f t="shared" si="5"/>
        <v>922095.7727873183</v>
      </c>
      <c r="D96" s="52">
        <f t="shared" si="5"/>
        <v>922095.7727873183</v>
      </c>
      <c r="E96" s="52">
        <f t="shared" si="5"/>
        <v>922095.7727873183</v>
      </c>
      <c r="F96" s="52">
        <f t="shared" si="5"/>
        <v>922095.7727873183</v>
      </c>
      <c r="G96" s="52">
        <f t="shared" si="5"/>
        <v>922095.7727873183</v>
      </c>
      <c r="H96" s="52">
        <f t="shared" si="5"/>
        <v>922095.7727873183</v>
      </c>
    </row>
    <row r="97" spans="1:8" ht="12.75">
      <c r="A97" t="s">
        <v>508</v>
      </c>
      <c r="B97" s="52">
        <f t="shared" si="5"/>
        <v>177830.66533548618</v>
      </c>
      <c r="C97" s="52">
        <f t="shared" si="5"/>
        <v>1372235.7646141774</v>
      </c>
      <c r="D97" s="52">
        <f t="shared" si="5"/>
        <v>3379903.083292701</v>
      </c>
      <c r="E97" s="52">
        <f t="shared" si="5"/>
        <v>15402583.60267586</v>
      </c>
      <c r="F97" s="52">
        <f t="shared" si="5"/>
        <v>7268397.636311226</v>
      </c>
      <c r="G97" s="52">
        <f t="shared" si="5"/>
        <v>301612.9691639887</v>
      </c>
      <c r="H97" s="52">
        <f t="shared" si="5"/>
        <v>22987986.60449282</v>
      </c>
    </row>
  </sheetData>
  <printOptions/>
  <pageMargins left="0.55" right="0.47" top="0.45" bottom="0.32" header="0.27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39">
      <selection activeCell="A88" sqref="A88"/>
    </sheetView>
  </sheetViews>
  <sheetFormatPr defaultColWidth="9.140625" defaultRowHeight="12.75"/>
  <cols>
    <col min="5" max="5" width="10.140625" style="0" bestFit="1" customWidth="1"/>
  </cols>
  <sheetData>
    <row r="1" ht="12.75">
      <c r="A1" t="s">
        <v>15</v>
      </c>
    </row>
    <row r="3" ht="12.75">
      <c r="A3" t="s">
        <v>16</v>
      </c>
    </row>
    <row r="5" ht="12.75">
      <c r="A5" t="s">
        <v>17</v>
      </c>
    </row>
    <row r="6" ht="12.75">
      <c r="A6" t="s">
        <v>18</v>
      </c>
    </row>
    <row r="8" spans="3:4" ht="12.75">
      <c r="C8">
        <v>2006</v>
      </c>
      <c r="D8" s="20">
        <v>1.45</v>
      </c>
    </row>
    <row r="9" spans="3:5" ht="12.75">
      <c r="C9">
        <v>2009</v>
      </c>
      <c r="D9" s="20">
        <v>5.79</v>
      </c>
      <c r="E9" t="s">
        <v>19</v>
      </c>
    </row>
    <row r="10" ht="12.75">
      <c r="D10" s="20">
        <v>3.87</v>
      </c>
    </row>
    <row r="11" spans="4:5" ht="12.75">
      <c r="D11" s="20">
        <v>2.04</v>
      </c>
      <c r="E11" t="s">
        <v>20</v>
      </c>
    </row>
    <row r="13" spans="1:4" ht="12.75">
      <c r="A13" t="s">
        <v>21</v>
      </c>
      <c r="D13" t="s">
        <v>75</v>
      </c>
    </row>
    <row r="14" ht="12.75">
      <c r="D14" t="s">
        <v>22</v>
      </c>
    </row>
    <row r="15" ht="12.75">
      <c r="A15" s="21" t="s">
        <v>23</v>
      </c>
    </row>
    <row r="20" ht="12.75">
      <c r="A20" t="s">
        <v>24</v>
      </c>
    </row>
    <row r="21" spans="2:10" ht="12.75">
      <c r="B21" t="s">
        <v>67</v>
      </c>
      <c r="J21" t="s">
        <v>70</v>
      </c>
    </row>
    <row r="22" spans="2:10" ht="12.75">
      <c r="B22" t="s">
        <v>65</v>
      </c>
      <c r="J22" t="s">
        <v>71</v>
      </c>
    </row>
    <row r="23" spans="2:10" ht="12.75">
      <c r="B23" t="s">
        <v>66</v>
      </c>
      <c r="J23" t="s">
        <v>72</v>
      </c>
    </row>
    <row r="24" ht="12.75">
      <c r="B24" t="s">
        <v>68</v>
      </c>
    </row>
    <row r="28" spans="1:10" ht="12.75">
      <c r="A28" t="s">
        <v>30</v>
      </c>
      <c r="J28" t="s">
        <v>69</v>
      </c>
    </row>
    <row r="29" spans="2:11" ht="12.75">
      <c r="B29">
        <v>150</v>
      </c>
      <c r="C29" t="s">
        <v>31</v>
      </c>
      <c r="J29">
        <v>300</v>
      </c>
      <c r="K29" t="s">
        <v>31</v>
      </c>
    </row>
    <row r="30" spans="2:11" ht="12.75">
      <c r="B30">
        <v>13</v>
      </c>
      <c r="C30" t="s">
        <v>33</v>
      </c>
      <c r="J30">
        <v>28</v>
      </c>
      <c r="K30" t="s">
        <v>33</v>
      </c>
    </row>
    <row r="31" spans="2:11" ht="12.75">
      <c r="B31">
        <v>5</v>
      </c>
      <c r="C31" t="s">
        <v>35</v>
      </c>
      <c r="J31">
        <v>9</v>
      </c>
      <c r="K31" t="s">
        <v>35</v>
      </c>
    </row>
    <row r="32" spans="2:11" ht="12.75">
      <c r="B32">
        <v>7</v>
      </c>
      <c r="C32" t="s">
        <v>37</v>
      </c>
      <c r="J32">
        <v>13</v>
      </c>
      <c r="K32" t="s">
        <v>37</v>
      </c>
    </row>
    <row r="34" spans="1:11" ht="12.75">
      <c r="A34" t="s">
        <v>40</v>
      </c>
      <c r="C34">
        <v>7.45</v>
      </c>
      <c r="D34" t="s">
        <v>41</v>
      </c>
      <c r="J34">
        <v>5.06</v>
      </c>
      <c r="K34" t="s">
        <v>41</v>
      </c>
    </row>
    <row r="35" spans="3:14" ht="12.75">
      <c r="C35">
        <v>13000</v>
      </c>
      <c r="D35" t="s">
        <v>78</v>
      </c>
      <c r="F35" s="31">
        <f>C35*'Summary Data Centre'!O6/1000</f>
        <v>3.80992391</v>
      </c>
      <c r="G35" t="s">
        <v>43</v>
      </c>
      <c r="J35">
        <v>13000</v>
      </c>
      <c r="K35" t="s">
        <v>42</v>
      </c>
      <c r="M35" s="31">
        <f>J35*'Summary Data Centre'!O6/1000</f>
        <v>3.80992391</v>
      </c>
      <c r="N35" t="s">
        <v>43</v>
      </c>
    </row>
    <row r="37" spans="2:11" ht="12.75">
      <c r="B37" t="s">
        <v>45</v>
      </c>
      <c r="C37">
        <v>780</v>
      </c>
      <c r="D37" t="s">
        <v>46</v>
      </c>
      <c r="E37" t="s">
        <v>47</v>
      </c>
      <c r="J37">
        <v>1742</v>
      </c>
      <c r="K37" t="s">
        <v>46</v>
      </c>
    </row>
    <row r="38" spans="3:15" ht="12.75">
      <c r="C38">
        <f>C35*SUM(B30:B32)/1000</f>
        <v>325</v>
      </c>
      <c r="D38" t="s">
        <v>46</v>
      </c>
      <c r="E38" t="s">
        <v>77</v>
      </c>
      <c r="G38" s="28">
        <f>C38*'Summary Data Centre'!O6</f>
        <v>95.24809775</v>
      </c>
      <c r="H38" t="s">
        <v>41</v>
      </c>
      <c r="J38">
        <f>SUM(J30:J32)*J35/1000</f>
        <v>650</v>
      </c>
      <c r="K38" t="s">
        <v>46</v>
      </c>
      <c r="L38" t="s">
        <v>77</v>
      </c>
      <c r="N38" s="28">
        <f>J38*'Summary Data Centre'!O6</f>
        <v>190.4961955</v>
      </c>
      <c r="O38" t="s">
        <v>41</v>
      </c>
    </row>
    <row r="39" spans="3:12" ht="12.75">
      <c r="C39">
        <f>C34*SUM(B30:B32)</f>
        <v>186.25</v>
      </c>
      <c r="D39" t="s">
        <v>41</v>
      </c>
      <c r="E39" t="s">
        <v>76</v>
      </c>
      <c r="G39" s="28"/>
      <c r="J39">
        <f>J34*SUM(J30:J32)</f>
        <v>252.99999999999997</v>
      </c>
      <c r="K39" t="s">
        <v>41</v>
      </c>
      <c r="L39" t="s">
        <v>76</v>
      </c>
    </row>
    <row r="41" spans="3:11" ht="12.75">
      <c r="C41">
        <v>400</v>
      </c>
      <c r="D41" t="s">
        <v>48</v>
      </c>
      <c r="J41">
        <v>800</v>
      </c>
      <c r="K41" t="s">
        <v>48</v>
      </c>
    </row>
    <row r="43" spans="3:11" ht="12.75">
      <c r="C43">
        <v>7</v>
      </c>
      <c r="D43" t="s">
        <v>49</v>
      </c>
      <c r="J43">
        <v>14</v>
      </c>
      <c r="K43" t="s">
        <v>49</v>
      </c>
    </row>
    <row r="44" spans="4:11" ht="12.75">
      <c r="D44" t="s">
        <v>50</v>
      </c>
      <c r="K44" t="s">
        <v>73</v>
      </c>
    </row>
    <row r="47" spans="1:12" ht="12.75">
      <c r="A47" t="s">
        <v>51</v>
      </c>
      <c r="C47" s="29">
        <v>682000</v>
      </c>
      <c r="D47" t="s">
        <v>27</v>
      </c>
      <c r="E47" t="s">
        <v>52</v>
      </c>
      <c r="J47" s="29">
        <v>1247000</v>
      </c>
      <c r="K47" t="s">
        <v>27</v>
      </c>
      <c r="L47" t="s">
        <v>52</v>
      </c>
    </row>
    <row r="48" spans="1:12" ht="12.75">
      <c r="A48" t="s">
        <v>53</v>
      </c>
      <c r="C48" s="29">
        <v>2794000</v>
      </c>
      <c r="D48" t="s">
        <v>27</v>
      </c>
      <c r="E48" t="s">
        <v>54</v>
      </c>
      <c r="J48" s="29">
        <v>5420000</v>
      </c>
      <c r="K48" t="s">
        <v>27</v>
      </c>
      <c r="L48" t="s">
        <v>54</v>
      </c>
    </row>
    <row r="49" spans="3:10" ht="12.75">
      <c r="C49" s="29"/>
      <c r="G49">
        <f>C48/'Summary Data Centre'!N2</f>
        <v>2521205.558563436</v>
      </c>
      <c r="J49" s="29"/>
    </row>
    <row r="50" spans="1:12" ht="12.75">
      <c r="A50" s="32" t="s">
        <v>79</v>
      </c>
      <c r="B50" s="32"/>
      <c r="C50" s="33"/>
      <c r="D50" s="34">
        <f>C48/('Summary Data Centre'!N2*C39)/1000</f>
        <v>13.536674139937912</v>
      </c>
      <c r="E50" s="32" t="s">
        <v>80</v>
      </c>
      <c r="F50" s="32"/>
      <c r="G50" s="32"/>
      <c r="H50" s="32"/>
      <c r="I50" s="32"/>
      <c r="J50" s="33"/>
      <c r="K50" s="35">
        <f>J48/('Summary Data Centre'!N2*J39)/1000</f>
        <v>19.33128036562513</v>
      </c>
      <c r="L50" s="32" t="s">
        <v>80</v>
      </c>
    </row>
    <row r="51" spans="3:10" ht="12.75">
      <c r="C51" s="29"/>
      <c r="J51" s="29"/>
    </row>
    <row r="53" spans="1:5" ht="12.75">
      <c r="A53" t="s">
        <v>55</v>
      </c>
      <c r="C53" s="29">
        <v>112320</v>
      </c>
      <c r="D53" t="s">
        <v>27</v>
      </c>
      <c r="E53" t="s">
        <v>56</v>
      </c>
    </row>
    <row r="54" spans="3:5" ht="12.75">
      <c r="C54" s="29">
        <v>350010</v>
      </c>
      <c r="E54" t="s">
        <v>57</v>
      </c>
    </row>
    <row r="55" spans="3:8" ht="12.75">
      <c r="C55" s="29">
        <v>300010</v>
      </c>
      <c r="E55" t="s">
        <v>170</v>
      </c>
      <c r="H55" s="29">
        <v>700020</v>
      </c>
    </row>
    <row r="57" spans="1:4" ht="12.75">
      <c r="A57" t="s">
        <v>58</v>
      </c>
      <c r="C57" s="30">
        <v>400</v>
      </c>
      <c r="D57" t="s">
        <v>74</v>
      </c>
    </row>
    <row r="58" spans="3:11" ht="12.75">
      <c r="C58" s="30">
        <f>C57*12*SUM(B30:B32)</f>
        <v>120000</v>
      </c>
      <c r="D58" t="s">
        <v>92</v>
      </c>
      <c r="J58" s="30">
        <f>C57*12*SUM(J30:J32)</f>
        <v>240000</v>
      </c>
      <c r="K58" t="s">
        <v>92</v>
      </c>
    </row>
    <row r="59" ht="12.75">
      <c r="C59" s="30"/>
    </row>
    <row r="61" spans="1:5" ht="12.75">
      <c r="A61" t="s">
        <v>81</v>
      </c>
      <c r="C61">
        <v>65.521</v>
      </c>
      <c r="D61" t="s">
        <v>27</v>
      </c>
      <c r="E61" t="s">
        <v>59</v>
      </c>
    </row>
    <row r="63" spans="1:12" ht="12.75">
      <c r="A63" t="s">
        <v>111</v>
      </c>
      <c r="E63">
        <f>B29/2</f>
        <v>75</v>
      </c>
      <c r="F63" t="s">
        <v>31</v>
      </c>
      <c r="K63">
        <f>J29/2</f>
        <v>150</v>
      </c>
      <c r="L63" t="s">
        <v>31</v>
      </c>
    </row>
    <row r="65" spans="1:12" ht="12.75">
      <c r="A65" t="s">
        <v>112</v>
      </c>
      <c r="E65">
        <f>B29-SUM(B30:B32)*2.5</f>
        <v>87.5</v>
      </c>
      <c r="K65">
        <f>J29-SUM(J30:J32)*2.5</f>
        <v>175</v>
      </c>
      <c r="L65" t="s">
        <v>31</v>
      </c>
    </row>
    <row r="67" spans="1:11" ht="12.75">
      <c r="A67" t="s">
        <v>113</v>
      </c>
      <c r="E67">
        <f>E65/C43</f>
        <v>12.5</v>
      </c>
      <c r="K67">
        <f>K65/J43</f>
        <v>12.5</v>
      </c>
    </row>
    <row r="72" ht="12.75">
      <c r="A72" t="s">
        <v>184</v>
      </c>
    </row>
    <row r="73" spans="3:6" ht="12.75">
      <c r="C73" t="s">
        <v>56</v>
      </c>
      <c r="D73" t="s">
        <v>182</v>
      </c>
      <c r="E73" t="s">
        <v>170</v>
      </c>
      <c r="F73" t="s">
        <v>183</v>
      </c>
    </row>
    <row r="74" spans="1:8" ht="12.75">
      <c r="A74" t="s">
        <v>186</v>
      </c>
      <c r="C74">
        <v>1067788</v>
      </c>
      <c r="D74">
        <v>1067788</v>
      </c>
      <c r="E74">
        <v>1067788</v>
      </c>
      <c r="F74">
        <v>1067788</v>
      </c>
      <c r="H74" s="66">
        <f>E74/$E$79</f>
        <v>0.43997931521835426</v>
      </c>
    </row>
    <row r="75" spans="1:8" ht="12.75">
      <c r="A75" t="s">
        <v>185</v>
      </c>
      <c r="C75">
        <v>378000</v>
      </c>
      <c r="D75">
        <v>592000</v>
      </c>
      <c r="E75">
        <v>684000</v>
      </c>
      <c r="F75">
        <v>648000</v>
      </c>
      <c r="H75" s="66">
        <f>E75/$E$79</f>
        <v>0.28184045110954076</v>
      </c>
    </row>
    <row r="76" spans="1:8" ht="12.75">
      <c r="A76" t="s">
        <v>55</v>
      </c>
      <c r="C76">
        <v>112320</v>
      </c>
      <c r="D76">
        <v>213174</v>
      </c>
      <c r="E76">
        <v>305010</v>
      </c>
      <c r="F76">
        <v>284400</v>
      </c>
      <c r="H76" s="66">
        <f>E76/$E$79</f>
        <v>0.12567859063292547</v>
      </c>
    </row>
    <row r="77" spans="1:8" ht="12.75">
      <c r="A77" t="s">
        <v>181</v>
      </c>
      <c r="C77">
        <v>451584</v>
      </c>
      <c r="D77">
        <v>353251</v>
      </c>
      <c r="E77">
        <v>370107</v>
      </c>
      <c r="F77">
        <v>80689</v>
      </c>
      <c r="H77" s="66">
        <f>E77/$E$79</f>
        <v>0.15250164303917954</v>
      </c>
    </row>
    <row r="79" spans="3:6" ht="12.75">
      <c r="C79">
        <f>SUM(C74:C77)</f>
        <v>2009692</v>
      </c>
      <c r="D79">
        <f>SUM(D74:D77)</f>
        <v>2226213</v>
      </c>
      <c r="E79">
        <f>SUM(E74:E77)</f>
        <v>2426905</v>
      </c>
      <c r="F79">
        <f>SUM(F74:F77)</f>
        <v>2080877</v>
      </c>
    </row>
    <row r="80" spans="3:6" ht="12.75">
      <c r="C80">
        <f>C79/150</f>
        <v>13397.946666666667</v>
      </c>
      <c r="D80">
        <f>D79/150</f>
        <v>14841.42</v>
      </c>
      <c r="E80">
        <f>E79/150</f>
        <v>16179.366666666667</v>
      </c>
      <c r="F80">
        <f>F79/150</f>
        <v>13872.513333333334</v>
      </c>
    </row>
    <row r="82" spans="1:5" ht="12.75">
      <c r="A82" t="s">
        <v>190</v>
      </c>
      <c r="E82" s="52">
        <f>E79*3/'Summary Data Centre'!N2</f>
        <v>6569856.524093123</v>
      </c>
    </row>
    <row r="84" spans="1:5" ht="12.75">
      <c r="A84" t="s">
        <v>191</v>
      </c>
      <c r="E84" s="52">
        <f>E82/SUM(B30:B32)</f>
        <v>262794.2609637249</v>
      </c>
    </row>
    <row r="86" spans="1:5" ht="12.75">
      <c r="A86" t="s">
        <v>193</v>
      </c>
      <c r="E86">
        <f>E75/(150*12)</f>
        <v>380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workbookViewId="0" topLeftCell="A1">
      <pane xSplit="1" ySplit="8" topLeftCell="C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9" sqref="H9"/>
    </sheetView>
  </sheetViews>
  <sheetFormatPr defaultColWidth="9.140625" defaultRowHeight="12.75"/>
  <cols>
    <col min="1" max="1" width="36.00390625" style="0" customWidth="1"/>
    <col min="2" max="6" width="16.28125" style="0" customWidth="1"/>
    <col min="7" max="8" width="14.28125" style="0" customWidth="1"/>
    <col min="9" max="9" width="8.57421875" style="0" customWidth="1"/>
    <col min="10" max="10" width="10.57421875" style="0" customWidth="1"/>
  </cols>
  <sheetData>
    <row r="1" ht="18">
      <c r="A1" s="101" t="s">
        <v>232</v>
      </c>
    </row>
    <row r="2" spans="7:12" ht="12.75">
      <c r="G2" s="58" t="s">
        <v>303</v>
      </c>
      <c r="H2" s="90" t="s">
        <v>300</v>
      </c>
      <c r="J2" s="87" t="s">
        <v>304</v>
      </c>
      <c r="K2" s="52">
        <v>100000</v>
      </c>
      <c r="L2" t="s">
        <v>307</v>
      </c>
    </row>
    <row r="3" spans="1:12" ht="12.75">
      <c r="A3" t="s">
        <v>231</v>
      </c>
      <c r="B3">
        <v>320</v>
      </c>
      <c r="C3" t="s">
        <v>41</v>
      </c>
      <c r="H3" s="87" t="s">
        <v>301</v>
      </c>
      <c r="J3" s="87" t="s">
        <v>305</v>
      </c>
      <c r="K3" s="20">
        <v>0.08</v>
      </c>
      <c r="L3" t="s">
        <v>306</v>
      </c>
    </row>
    <row r="4" spans="1:11" ht="12.75">
      <c r="A4" t="s">
        <v>213</v>
      </c>
      <c r="B4">
        <v>20</v>
      </c>
      <c r="C4" t="s">
        <v>225</v>
      </c>
      <c r="J4" s="87" t="s">
        <v>309</v>
      </c>
      <c r="K4" t="s">
        <v>310</v>
      </c>
    </row>
    <row r="5" spans="1:3" ht="12.75">
      <c r="A5" t="s">
        <v>226</v>
      </c>
      <c r="B5" s="259">
        <f>365*24*B3</f>
        <v>2803200</v>
      </c>
      <c r="C5" t="s">
        <v>227</v>
      </c>
    </row>
    <row r="7" spans="1:11" s="67" customFormat="1" ht="38.25">
      <c r="A7" s="88"/>
      <c r="B7" s="99" t="s">
        <v>472</v>
      </c>
      <c r="C7" s="99" t="s">
        <v>233</v>
      </c>
      <c r="D7" s="99" t="s">
        <v>471</v>
      </c>
      <c r="E7" s="99" t="s">
        <v>234</v>
      </c>
      <c r="F7" s="99" t="s">
        <v>535</v>
      </c>
      <c r="G7" s="99" t="s">
        <v>235</v>
      </c>
      <c r="H7" s="100" t="s">
        <v>212</v>
      </c>
      <c r="J7" s="67" t="s">
        <v>308</v>
      </c>
      <c r="K7" s="67" t="s">
        <v>302</v>
      </c>
    </row>
    <row r="8" spans="1:12" s="87" customFormat="1" ht="12.75">
      <c r="A8" s="89" t="s">
        <v>559</v>
      </c>
      <c r="B8" s="90" t="s">
        <v>210</v>
      </c>
      <c r="C8" s="90" t="s">
        <v>211</v>
      </c>
      <c r="D8" s="90"/>
      <c r="E8" s="90" t="s">
        <v>536</v>
      </c>
      <c r="F8" s="90" t="s">
        <v>536</v>
      </c>
      <c r="G8" s="90" t="s">
        <v>537</v>
      </c>
      <c r="H8" s="91"/>
      <c r="J8" s="87">
        <v>4</v>
      </c>
      <c r="K8" s="168">
        <f aca="true" t="shared" si="0" ref="K8:K14">($K$2*$K$3*POWER((1+$K$3),J8))/(POWER((1+$K$3),J8)-1)</f>
        <v>30192.080445403913</v>
      </c>
      <c r="L8" s="67"/>
    </row>
    <row r="9" spans="1:11" s="87" customFormat="1" ht="12.75">
      <c r="A9" s="92" t="s">
        <v>215</v>
      </c>
      <c r="B9" s="93">
        <v>320</v>
      </c>
      <c r="C9" s="93">
        <v>320</v>
      </c>
      <c r="D9" s="93">
        <v>1500</v>
      </c>
      <c r="E9" s="93">
        <v>2300</v>
      </c>
      <c r="F9" s="93">
        <v>4600</v>
      </c>
      <c r="G9" s="93">
        <v>1500</v>
      </c>
      <c r="H9" s="110">
        <v>2300</v>
      </c>
      <c r="J9" s="87">
        <v>5</v>
      </c>
      <c r="K9" s="168">
        <f t="shared" si="0"/>
        <v>25045.64545668365</v>
      </c>
    </row>
    <row r="10" spans="1:11" s="87" customFormat="1" ht="12.75">
      <c r="A10" s="95" t="s">
        <v>214</v>
      </c>
      <c r="B10" s="90"/>
      <c r="C10" s="90"/>
      <c r="D10" s="90">
        <v>320</v>
      </c>
      <c r="E10" s="90">
        <v>320</v>
      </c>
      <c r="F10" s="90">
        <v>320</v>
      </c>
      <c r="G10" s="90">
        <v>320</v>
      </c>
      <c r="H10" s="91">
        <v>320</v>
      </c>
      <c r="J10" s="87">
        <v>10</v>
      </c>
      <c r="K10" s="168">
        <f t="shared" si="0"/>
        <v>14902.948869707536</v>
      </c>
    </row>
    <row r="11" spans="1:11" s="87" customFormat="1" ht="12.75">
      <c r="A11" s="92" t="s">
        <v>260</v>
      </c>
      <c r="B11" s="93">
        <f>B5</f>
        <v>2803200</v>
      </c>
      <c r="C11" s="93">
        <v>2772480</v>
      </c>
      <c r="D11" s="168">
        <v>4522695.144023768</v>
      </c>
      <c r="E11" s="93">
        <f>B5</f>
        <v>2803200</v>
      </c>
      <c r="F11" s="93">
        <f>B5</f>
        <v>2803200</v>
      </c>
      <c r="G11" s="93">
        <v>1814080</v>
      </c>
      <c r="H11" s="94"/>
      <c r="J11" s="87">
        <v>15</v>
      </c>
      <c r="K11" s="168">
        <f t="shared" si="0"/>
        <v>11682.954493602</v>
      </c>
    </row>
    <row r="12" spans="1:11" s="87" customFormat="1" ht="12.75">
      <c r="A12" s="95" t="s">
        <v>261</v>
      </c>
      <c r="B12" s="90"/>
      <c r="C12" s="90"/>
      <c r="D12" s="109">
        <v>1123378.4378032482</v>
      </c>
      <c r="E12" s="90"/>
      <c r="F12" s="90"/>
      <c r="G12" s="90">
        <v>989120</v>
      </c>
      <c r="H12" s="91"/>
      <c r="J12" s="87">
        <v>20</v>
      </c>
      <c r="K12" s="168">
        <f t="shared" si="0"/>
        <v>10185.22088231506</v>
      </c>
    </row>
    <row r="13" spans="2:13" ht="12.75">
      <c r="B13" s="266" t="s">
        <v>561</v>
      </c>
      <c r="C13" s="266" t="s">
        <v>562</v>
      </c>
      <c r="D13" s="266" t="s">
        <v>562</v>
      </c>
      <c r="E13" s="266" t="s">
        <v>562</v>
      </c>
      <c r="F13" s="266" t="s">
        <v>562</v>
      </c>
      <c r="G13" s="266" t="s">
        <v>562</v>
      </c>
      <c r="H13" s="266" t="s">
        <v>562</v>
      </c>
      <c r="J13" s="87">
        <v>25</v>
      </c>
      <c r="K13" s="168">
        <f t="shared" si="0"/>
        <v>9367.877905196812</v>
      </c>
      <c r="M13" s="87"/>
    </row>
    <row r="14" spans="1:13" ht="12.75">
      <c r="A14" t="s">
        <v>216</v>
      </c>
      <c r="B14" s="163">
        <v>4000</v>
      </c>
      <c r="C14" s="163">
        <v>4700</v>
      </c>
      <c r="D14" s="163">
        <v>3750</v>
      </c>
      <c r="E14" s="163">
        <v>1500</v>
      </c>
      <c r="F14" s="163">
        <v>1500</v>
      </c>
      <c r="G14" s="163">
        <v>1500</v>
      </c>
      <c r="H14" s="163">
        <v>7824</v>
      </c>
      <c r="J14" s="87">
        <v>50</v>
      </c>
      <c r="K14" s="168">
        <f t="shared" si="0"/>
        <v>8174.285816161555</v>
      </c>
      <c r="M14" s="87"/>
    </row>
    <row r="15" spans="1:13" ht="12.75">
      <c r="A15" s="167" t="s">
        <v>312</v>
      </c>
      <c r="B15" s="52">
        <f aca="true" t="shared" si="1" ref="B15:H15">B14*B9</f>
        <v>1280000</v>
      </c>
      <c r="C15" s="52">
        <f t="shared" si="1"/>
        <v>1504000</v>
      </c>
      <c r="D15" s="52">
        <f t="shared" si="1"/>
        <v>5625000</v>
      </c>
      <c r="E15" s="52">
        <f t="shared" si="1"/>
        <v>3450000</v>
      </c>
      <c r="F15" s="52">
        <f t="shared" si="1"/>
        <v>6900000</v>
      </c>
      <c r="G15" s="52">
        <f t="shared" si="1"/>
        <v>2250000</v>
      </c>
      <c r="H15" s="52">
        <f t="shared" si="1"/>
        <v>17995200</v>
      </c>
      <c r="M15" s="87"/>
    </row>
    <row r="16" spans="1:11" s="48" customFormat="1" ht="12.75">
      <c r="A16" s="169" t="s">
        <v>314</v>
      </c>
      <c r="B16" s="206">
        <v>50</v>
      </c>
      <c r="C16" s="206">
        <v>15</v>
      </c>
      <c r="D16" s="206">
        <v>10</v>
      </c>
      <c r="E16" s="206">
        <v>25</v>
      </c>
      <c r="F16" s="206">
        <v>25</v>
      </c>
      <c r="G16" s="206">
        <v>25</v>
      </c>
      <c r="H16" s="206">
        <v>10</v>
      </c>
      <c r="K16"/>
    </row>
    <row r="17" spans="1:8" ht="12.75">
      <c r="A17" s="203" t="s">
        <v>313</v>
      </c>
      <c r="B17" s="204">
        <f aca="true" t="shared" si="2" ref="B17:H17">VLOOKUP(B16,$J$8:$K$14,2)*B15/100000</f>
        <v>104630.8584468679</v>
      </c>
      <c r="C17" s="204">
        <f t="shared" si="2"/>
        <v>175711.63558377407</v>
      </c>
      <c r="D17" s="204">
        <f t="shared" si="2"/>
        <v>838290.873921049</v>
      </c>
      <c r="E17" s="204">
        <f t="shared" si="2"/>
        <v>323191.78772929</v>
      </c>
      <c r="F17" s="204">
        <f t="shared" si="2"/>
        <v>646383.57545858</v>
      </c>
      <c r="G17" s="204">
        <f t="shared" si="2"/>
        <v>210777.2528669283</v>
      </c>
      <c r="H17" s="204">
        <f t="shared" si="2"/>
        <v>2681815.4550016103</v>
      </c>
    </row>
    <row r="18" spans="1:8" ht="12.75">
      <c r="A18" s="167"/>
      <c r="B18" s="52"/>
      <c r="C18" s="52"/>
      <c r="D18" s="266" t="s">
        <v>561</v>
      </c>
      <c r="E18" s="266" t="s">
        <v>578</v>
      </c>
      <c r="F18" s="266" t="s">
        <v>578</v>
      </c>
      <c r="G18" s="266" t="s">
        <v>579</v>
      </c>
      <c r="H18" s="266" t="s">
        <v>578</v>
      </c>
    </row>
    <row r="19" spans="1:8" ht="12.75">
      <c r="A19" t="s">
        <v>239</v>
      </c>
      <c r="B19" s="52"/>
      <c r="C19" s="52"/>
      <c r="D19" s="163">
        <f>'Storage costs'!B7</f>
        <v>5100</v>
      </c>
      <c r="E19" s="52"/>
      <c r="F19" s="52"/>
      <c r="G19" s="52"/>
      <c r="H19" s="52"/>
    </row>
    <row r="20" spans="1:8" ht="12.75">
      <c r="A20" s="167" t="s">
        <v>327</v>
      </c>
      <c r="B20" s="52"/>
      <c r="C20" s="52"/>
      <c r="D20" s="52">
        <f>D19*D10</f>
        <v>1632000</v>
      </c>
      <c r="E20" s="163">
        <v>32362027.82890148</v>
      </c>
      <c r="F20" s="163">
        <v>11300526.120601684</v>
      </c>
      <c r="G20" s="52">
        <v>1100000</v>
      </c>
      <c r="H20" s="163">
        <v>32362027.82890148</v>
      </c>
    </row>
    <row r="21" spans="1:11" s="48" customFormat="1" ht="12.75">
      <c r="A21" s="169" t="s">
        <v>314</v>
      </c>
      <c r="D21" s="206">
        <v>50</v>
      </c>
      <c r="E21" s="206">
        <v>10</v>
      </c>
      <c r="F21" s="206">
        <v>10</v>
      </c>
      <c r="G21" s="206">
        <v>10</v>
      </c>
      <c r="H21" s="206">
        <v>10</v>
      </c>
      <c r="K21"/>
    </row>
    <row r="22" spans="1:8" ht="12.75">
      <c r="A22" s="32" t="s">
        <v>328</v>
      </c>
      <c r="B22" s="204"/>
      <c r="C22" s="204"/>
      <c r="D22" s="204">
        <f>VLOOKUP(D21,$J$8:$K$13,2)*D20/100000</f>
        <v>152883.76741281195</v>
      </c>
      <c r="E22" s="204">
        <f>VLOOKUP(E21,$J$8:$K$13,2)*E20/100000</f>
        <v>4822896.460541711</v>
      </c>
      <c r="F22" s="204">
        <f>VLOOKUP(F21,$J$8:$K$13,2)*F20/100000</f>
        <v>1684111.6297612134</v>
      </c>
      <c r="G22" s="204">
        <f>VLOOKUP(G21,$J$8:$K$13,2)*G20/100000</f>
        <v>163932.4375667829</v>
      </c>
      <c r="H22" s="204">
        <f>VLOOKUP(H21,$J$8:$K$13,2)*H20/100000</f>
        <v>4822896.460541711</v>
      </c>
    </row>
    <row r="24" spans="1:8" ht="12.75">
      <c r="A24" t="s">
        <v>221</v>
      </c>
      <c r="B24" s="149">
        <v>14</v>
      </c>
      <c r="C24" s="149">
        <v>0.5</v>
      </c>
      <c r="D24" s="149">
        <v>5</v>
      </c>
      <c r="E24" s="149">
        <v>0.5</v>
      </c>
      <c r="F24" s="149">
        <v>0.5</v>
      </c>
      <c r="G24" s="149">
        <v>0.5</v>
      </c>
      <c r="H24" s="149">
        <v>0.5</v>
      </c>
    </row>
    <row r="25" spans="1:8" ht="12.75">
      <c r="A25" t="s">
        <v>230</v>
      </c>
      <c r="B25" s="52">
        <f>E68</f>
        <v>617.7635181484095</v>
      </c>
      <c r="C25" s="52">
        <f>B25</f>
        <v>617.7635181484095</v>
      </c>
      <c r="D25" s="52">
        <f>C25</f>
        <v>617.7635181484095</v>
      </c>
      <c r="E25" s="52">
        <f>D25</f>
        <v>617.7635181484095</v>
      </c>
      <c r="F25" s="52">
        <f>E25</f>
        <v>617.7635181484095</v>
      </c>
      <c r="G25" s="52">
        <f>E25</f>
        <v>617.7635181484095</v>
      </c>
      <c r="H25" s="52">
        <f>G25</f>
        <v>617.7635181484095</v>
      </c>
    </row>
    <row r="26" spans="1:8" ht="12.75">
      <c r="A26" t="s">
        <v>580</v>
      </c>
      <c r="B26" s="52">
        <f>E106</f>
        <v>182000</v>
      </c>
      <c r="C26" s="52">
        <f>E105</f>
        <v>118000</v>
      </c>
      <c r="D26" s="52">
        <f>B26</f>
        <v>182000</v>
      </c>
      <c r="E26" s="52">
        <f>C26</f>
        <v>118000</v>
      </c>
      <c r="F26" s="52">
        <f>D26</f>
        <v>182000</v>
      </c>
      <c r="G26" s="52">
        <f>E26</f>
        <v>118000</v>
      </c>
      <c r="H26" s="52">
        <f>G26</f>
        <v>118000</v>
      </c>
    </row>
    <row r="27" spans="1:8" ht="12.75">
      <c r="A27" t="s">
        <v>252</v>
      </c>
      <c r="B27" s="265">
        <v>80000</v>
      </c>
      <c r="C27" s="52">
        <f>B27</f>
        <v>80000</v>
      </c>
      <c r="D27" s="52">
        <f>B27</f>
        <v>80000</v>
      </c>
      <c r="E27" s="52">
        <f>B27</f>
        <v>80000</v>
      </c>
      <c r="F27" s="52">
        <f>C27</f>
        <v>80000</v>
      </c>
      <c r="G27" s="52">
        <f>B27</f>
        <v>80000</v>
      </c>
      <c r="H27" s="52">
        <f>B27</f>
        <v>80000</v>
      </c>
    </row>
    <row r="28" spans="1:8" ht="12.75">
      <c r="A28" t="s">
        <v>222</v>
      </c>
      <c r="B28" s="52">
        <f aca="true" t="shared" si="3" ref="B28:H28">B24*(B25+B26)+B27</f>
        <v>2636648.689254078</v>
      </c>
      <c r="C28" s="52">
        <f t="shared" si="3"/>
        <v>139308.8817590742</v>
      </c>
      <c r="D28" s="52">
        <f t="shared" si="3"/>
        <v>993088.8175907421</v>
      </c>
      <c r="E28" s="52">
        <f t="shared" si="3"/>
        <v>139308.8817590742</v>
      </c>
      <c r="F28" s="52">
        <f t="shared" si="3"/>
        <v>171308.88175907423</v>
      </c>
      <c r="G28" s="52">
        <f t="shared" si="3"/>
        <v>139308.8817590742</v>
      </c>
      <c r="H28" s="52">
        <f t="shared" si="3"/>
        <v>139308.8817590742</v>
      </c>
    </row>
    <row r="29" spans="1:8" ht="12.75">
      <c r="A29" t="s">
        <v>389</v>
      </c>
      <c r="B29" s="207">
        <v>25</v>
      </c>
      <c r="C29" s="207">
        <v>25</v>
      </c>
      <c r="D29" s="207">
        <v>25</v>
      </c>
      <c r="E29" s="207">
        <v>25</v>
      </c>
      <c r="F29" s="207">
        <v>25</v>
      </c>
      <c r="G29" s="207">
        <v>25</v>
      </c>
      <c r="H29" s="207">
        <v>25</v>
      </c>
    </row>
    <row r="30" spans="1:8" ht="12.75">
      <c r="A30" s="203" t="s">
        <v>390</v>
      </c>
      <c r="B30" s="204">
        <f aca="true" t="shared" si="4" ref="B30:H30">VLOOKUP(B29,$J$8:$K$13,2)*B28/100000</f>
        <v>246998.02999829414</v>
      </c>
      <c r="C30" s="204">
        <f t="shared" si="4"/>
        <v>13050.285954285064</v>
      </c>
      <c r="D30" s="204">
        <f t="shared" si="4"/>
        <v>93031.3479220634</v>
      </c>
      <c r="E30" s="204">
        <f t="shared" si="4"/>
        <v>13050.285954285064</v>
      </c>
      <c r="F30" s="204">
        <f t="shared" si="4"/>
        <v>16048.006883948046</v>
      </c>
      <c r="G30" s="204">
        <f t="shared" si="4"/>
        <v>13050.285954285064</v>
      </c>
      <c r="H30" s="204">
        <f t="shared" si="4"/>
        <v>13050.285954285064</v>
      </c>
    </row>
    <row r="32" spans="1:8" ht="12.75">
      <c r="A32" t="s">
        <v>217</v>
      </c>
      <c r="B32" s="163">
        <v>50</v>
      </c>
      <c r="C32" s="163">
        <f>C14*0.05</f>
        <v>235</v>
      </c>
      <c r="D32" s="163">
        <v>100</v>
      </c>
      <c r="E32" s="163">
        <v>44</v>
      </c>
      <c r="F32" s="163">
        <v>44</v>
      </c>
      <c r="G32" s="163">
        <v>44</v>
      </c>
      <c r="H32" s="163">
        <v>63</v>
      </c>
    </row>
    <row r="33" spans="1:8" ht="12.75">
      <c r="A33" t="s">
        <v>374</v>
      </c>
      <c r="B33" s="52">
        <f aca="true" t="shared" si="5" ref="B33:H33">B32*B9</f>
        <v>16000</v>
      </c>
      <c r="C33" s="52">
        <f t="shared" si="5"/>
        <v>75200</v>
      </c>
      <c r="D33" s="52">
        <f t="shared" si="5"/>
        <v>150000</v>
      </c>
      <c r="E33" s="52">
        <f t="shared" si="5"/>
        <v>101200</v>
      </c>
      <c r="F33" s="52">
        <f t="shared" si="5"/>
        <v>202400</v>
      </c>
      <c r="G33" s="52">
        <f t="shared" si="5"/>
        <v>66000</v>
      </c>
      <c r="H33" s="52">
        <f t="shared" si="5"/>
        <v>144900</v>
      </c>
    </row>
    <row r="34" spans="1:4" ht="12.75">
      <c r="A34" t="s">
        <v>218</v>
      </c>
      <c r="D34" s="163">
        <v>50</v>
      </c>
    </row>
    <row r="35" spans="1:7" ht="12.75">
      <c r="A35" t="s">
        <v>375</v>
      </c>
      <c r="D35" s="52">
        <f>D34*D10</f>
        <v>16000</v>
      </c>
      <c r="G35" s="149">
        <f>'Storage costs'!E54</f>
        <v>97000</v>
      </c>
    </row>
    <row r="36" spans="1:7" ht="12.75">
      <c r="A36" t="s">
        <v>581</v>
      </c>
      <c r="G36" s="208">
        <f>'Storage costs'!E62</f>
        <v>165950</v>
      </c>
    </row>
    <row r="37" spans="1:8" ht="12.75">
      <c r="A37" s="32" t="s">
        <v>376</v>
      </c>
      <c r="B37" s="204">
        <f aca="true" t="shared" si="6" ref="B37:H37">B33+B35-B36</f>
        <v>16000</v>
      </c>
      <c r="C37" s="204">
        <f t="shared" si="6"/>
        <v>75200</v>
      </c>
      <c r="D37" s="204">
        <f t="shared" si="6"/>
        <v>166000</v>
      </c>
      <c r="E37" s="204">
        <f t="shared" si="6"/>
        <v>101200</v>
      </c>
      <c r="F37" s="204">
        <f t="shared" si="6"/>
        <v>202400</v>
      </c>
      <c r="G37" s="204">
        <f t="shared" si="6"/>
        <v>-2950</v>
      </c>
      <c r="H37" s="204">
        <f t="shared" si="6"/>
        <v>144900</v>
      </c>
    </row>
    <row r="39" spans="1:8" ht="12.75">
      <c r="A39" t="s">
        <v>220</v>
      </c>
      <c r="B39" s="52"/>
      <c r="C39" s="163">
        <v>50</v>
      </c>
      <c r="D39" s="52"/>
      <c r="E39" s="52"/>
      <c r="F39" s="52"/>
      <c r="G39" s="52"/>
      <c r="H39" s="52"/>
    </row>
    <row r="40" spans="1:3" ht="12.75">
      <c r="A40" t="s">
        <v>219</v>
      </c>
      <c r="C40">
        <f>10.6*365</f>
        <v>3869</v>
      </c>
    </row>
    <row r="41" spans="1:8" ht="12.75">
      <c r="A41" s="32" t="s">
        <v>223</v>
      </c>
      <c r="B41" s="204">
        <f aca="true" t="shared" si="7" ref="B41:H41">B39*B40</f>
        <v>0</v>
      </c>
      <c r="C41" s="204">
        <f t="shared" si="7"/>
        <v>193450</v>
      </c>
      <c r="D41" s="204">
        <f t="shared" si="7"/>
        <v>0</v>
      </c>
      <c r="E41" s="204">
        <f t="shared" si="7"/>
        <v>0</v>
      </c>
      <c r="F41" s="204">
        <f t="shared" si="7"/>
        <v>0</v>
      </c>
      <c r="G41" s="204">
        <f t="shared" si="7"/>
        <v>0</v>
      </c>
      <c r="H41" s="204">
        <f t="shared" si="7"/>
        <v>0</v>
      </c>
    </row>
    <row r="42" spans="2:8" ht="12.75">
      <c r="B42" s="52"/>
      <c r="C42" s="52"/>
      <c r="D42" s="52"/>
      <c r="E42" s="52"/>
      <c r="F42" s="52"/>
      <c r="G42" s="52"/>
      <c r="H42" s="52"/>
    </row>
    <row r="44" spans="1:8" ht="12.75">
      <c r="A44" s="32" t="s">
        <v>224</v>
      </c>
      <c r="B44" s="204">
        <f aca="true" t="shared" si="8" ref="B44:H44">B41+B37+B30+B22+B17</f>
        <v>367628.88844516204</v>
      </c>
      <c r="C44" s="204">
        <f t="shared" si="8"/>
        <v>457411.92153805913</v>
      </c>
      <c r="D44" s="204">
        <f t="shared" si="8"/>
        <v>1250205.9892559242</v>
      </c>
      <c r="E44" s="204">
        <f t="shared" si="8"/>
        <v>5260338.534225287</v>
      </c>
      <c r="F44" s="204">
        <f>F41+F37+F30+F22+F17</f>
        <v>2548943.2121037417</v>
      </c>
      <c r="G44" s="204">
        <f t="shared" si="8"/>
        <v>384809.9763879962</v>
      </c>
      <c r="H44" s="204">
        <f t="shared" si="8"/>
        <v>7662662.201497607</v>
      </c>
    </row>
    <row r="45" spans="1:8" ht="12.75">
      <c r="A45" t="s">
        <v>228</v>
      </c>
      <c r="B45" s="98">
        <f aca="true" t="shared" si="9" ref="B45:H45">B44*100/$B$5</f>
        <v>13.11461502729602</v>
      </c>
      <c r="C45" s="98">
        <f t="shared" si="9"/>
        <v>16.31749149322414</v>
      </c>
      <c r="D45" s="98">
        <f t="shared" si="9"/>
        <v>44.59924333818223</v>
      </c>
      <c r="E45" s="98">
        <f t="shared" si="9"/>
        <v>187.65477077002308</v>
      </c>
      <c r="F45" s="98">
        <f t="shared" si="9"/>
        <v>90.92976641351818</v>
      </c>
      <c r="G45" s="98">
        <f t="shared" si="9"/>
        <v>13.727524842608313</v>
      </c>
      <c r="H45" s="98">
        <f t="shared" si="9"/>
        <v>273.35410250776283</v>
      </c>
    </row>
    <row r="46" spans="1:8" s="53" customFormat="1" ht="12.75">
      <c r="A46" s="53" t="s">
        <v>520</v>
      </c>
      <c r="B46" s="257">
        <f>B22*100/$B$5</f>
        <v>0</v>
      </c>
      <c r="C46" s="257">
        <f>C22*100/$B$5</f>
        <v>0</v>
      </c>
      <c r="D46" s="257">
        <f>D22*100/$B$5</f>
        <v>5.453901520148828</v>
      </c>
      <c r="E46" s="257">
        <f>E22*100/$B$5</f>
        <v>172.04967396338867</v>
      </c>
      <c r="F46" s="257">
        <f>F22*100/$B$5</f>
        <v>60.07818313931269</v>
      </c>
      <c r="G46" s="257">
        <v>0</v>
      </c>
      <c r="H46" s="257">
        <f>H22*100/$B$5</f>
        <v>172.04967396338867</v>
      </c>
    </row>
    <row r="48" spans="1:8" ht="12.75">
      <c r="A48" t="s">
        <v>262</v>
      </c>
      <c r="B48" s="149">
        <v>11</v>
      </c>
      <c r="C48" s="149"/>
      <c r="D48" s="149"/>
      <c r="E48" s="149">
        <v>4.5</v>
      </c>
      <c r="F48" s="149">
        <v>4.5</v>
      </c>
      <c r="G48" s="149">
        <v>9.4</v>
      </c>
      <c r="H48" s="149"/>
    </row>
    <row r="49" spans="1:8" ht="12.75">
      <c r="A49" t="s">
        <v>263</v>
      </c>
      <c r="B49" s="149"/>
      <c r="C49" s="149"/>
      <c r="D49" s="149">
        <v>11</v>
      </c>
      <c r="E49" s="149"/>
      <c r="F49" s="149"/>
      <c r="G49" s="149">
        <v>11.5</v>
      </c>
      <c r="H49" s="149"/>
    </row>
    <row r="51" spans="1:8" ht="12.75">
      <c r="A51" t="s">
        <v>264</v>
      </c>
      <c r="B51" s="52">
        <f aca="true" t="shared" si="10" ref="B51:H51">(B48*B11+B49*B12)/100</f>
        <v>308352</v>
      </c>
      <c r="C51" s="52">
        <f t="shared" si="10"/>
        <v>0</v>
      </c>
      <c r="D51" s="52">
        <f t="shared" si="10"/>
        <v>123571.62815835729</v>
      </c>
      <c r="E51" s="52">
        <f t="shared" si="10"/>
        <v>126144</v>
      </c>
      <c r="F51" s="52">
        <f>(F48*F11+F49*F12)/100</f>
        <v>126144</v>
      </c>
      <c r="G51" s="52">
        <f t="shared" si="10"/>
        <v>284272.32</v>
      </c>
      <c r="H51" s="52">
        <f t="shared" si="10"/>
        <v>0</v>
      </c>
    </row>
    <row r="52" spans="1:8" ht="12.75">
      <c r="A52" s="32" t="s">
        <v>265</v>
      </c>
      <c r="B52" s="209">
        <f aca="true" t="shared" si="11" ref="B52:H52">B51*100/$B$5</f>
        <v>11</v>
      </c>
      <c r="C52" s="209">
        <f t="shared" si="11"/>
        <v>0</v>
      </c>
      <c r="D52" s="209">
        <f t="shared" si="11"/>
        <v>4.408234451996194</v>
      </c>
      <c r="E52" s="209">
        <f t="shared" si="11"/>
        <v>4.5</v>
      </c>
      <c r="F52" s="209">
        <f t="shared" si="11"/>
        <v>4.5</v>
      </c>
      <c r="G52" s="209">
        <f t="shared" si="11"/>
        <v>10.140993150684931</v>
      </c>
      <c r="H52" s="209">
        <f t="shared" si="11"/>
        <v>0</v>
      </c>
    </row>
    <row r="54" spans="1:8" ht="12.75">
      <c r="A54" t="s">
        <v>394</v>
      </c>
      <c r="B54" s="98">
        <f aca="true" t="shared" si="12" ref="B54:H54">B45-B52</f>
        <v>2.1146150272960202</v>
      </c>
      <c r="C54" s="98">
        <f t="shared" si="12"/>
        <v>16.31749149322414</v>
      </c>
      <c r="D54" s="98">
        <f t="shared" si="12"/>
        <v>40.19100888618603</v>
      </c>
      <c r="E54" s="98">
        <f t="shared" si="12"/>
        <v>183.15477077002308</v>
      </c>
      <c r="F54" s="98">
        <f>F45-F52</f>
        <v>86.42976641351818</v>
      </c>
      <c r="G54" s="98">
        <f t="shared" si="12"/>
        <v>3.5865316919233816</v>
      </c>
      <c r="H54" s="98">
        <f t="shared" si="12"/>
        <v>273.35410250776283</v>
      </c>
    </row>
    <row r="55" ht="12.75">
      <c r="D55" t="s">
        <v>505</v>
      </c>
    </row>
    <row r="56" ht="12.75">
      <c r="D56" s="48"/>
    </row>
    <row r="57" ht="12.75">
      <c r="D57" s="48"/>
    </row>
    <row r="58" ht="12.75">
      <c r="D58" s="48"/>
    </row>
    <row r="60" spans="1:6" ht="12.75">
      <c r="A60" t="s">
        <v>256</v>
      </c>
      <c r="B60" t="s">
        <v>253</v>
      </c>
      <c r="E60" t="s">
        <v>254</v>
      </c>
      <c r="F60" t="s">
        <v>255</v>
      </c>
    </row>
    <row r="61" spans="1:7" ht="12.75">
      <c r="A61" t="s">
        <v>216</v>
      </c>
      <c r="B61" s="52">
        <v>2750</v>
      </c>
      <c r="C61" s="52">
        <v>4700</v>
      </c>
      <c r="D61" s="52">
        <v>3750</v>
      </c>
      <c r="E61" s="52">
        <v>1500</v>
      </c>
      <c r="F61" s="52">
        <v>1500</v>
      </c>
      <c r="G61" s="52">
        <v>7824</v>
      </c>
    </row>
    <row r="62" spans="1:7" ht="12.75">
      <c r="A62" t="s">
        <v>217</v>
      </c>
      <c r="B62">
        <v>50</v>
      </c>
      <c r="C62">
        <v>235</v>
      </c>
      <c r="D62">
        <v>100</v>
      </c>
      <c r="E62">
        <v>44</v>
      </c>
      <c r="F62">
        <v>44</v>
      </c>
      <c r="G62">
        <v>63</v>
      </c>
    </row>
    <row r="64" ht="12.75">
      <c r="A64" t="s">
        <v>560</v>
      </c>
    </row>
    <row r="66" spans="1:5" ht="12.75">
      <c r="A66" s="267" t="s">
        <v>229</v>
      </c>
      <c r="B66" s="267"/>
      <c r="C66" s="267"/>
      <c r="D66" s="2"/>
      <c r="E66" s="2"/>
    </row>
    <row r="67" spans="1:5" ht="18.75" customHeight="1">
      <c r="A67" s="104" t="s">
        <v>139</v>
      </c>
      <c r="B67" s="2"/>
      <c r="C67" s="2"/>
      <c r="D67" s="2"/>
      <c r="E67" s="45"/>
    </row>
    <row r="68" spans="2:6" ht="26.25" customHeight="1">
      <c r="B68" s="104" t="s">
        <v>180</v>
      </c>
      <c r="C68" s="6" t="s">
        <v>172</v>
      </c>
      <c r="D68" s="6"/>
      <c r="E68" s="43">
        <f>'Summary Data Centre'!G31</f>
        <v>617.7635181484095</v>
      </c>
      <c r="F68" s="107" t="s">
        <v>123</v>
      </c>
    </row>
    <row r="69" spans="2:6" ht="38.25" customHeight="1">
      <c r="B69" s="104" t="s">
        <v>142</v>
      </c>
      <c r="C69" s="19" t="s">
        <v>205</v>
      </c>
      <c r="D69" s="19"/>
      <c r="E69" s="77">
        <f>'Summary Data Centre'!G34</f>
        <v>55000</v>
      </c>
      <c r="F69" s="105" t="s">
        <v>123</v>
      </c>
    </row>
    <row r="70" spans="1:5" ht="12.75" customHeight="1">
      <c r="A70" s="104"/>
      <c r="B70" s="19"/>
      <c r="C70" s="19"/>
      <c r="D70" s="77"/>
      <c r="E70" s="105"/>
    </row>
    <row r="71" spans="1:5" ht="16.5" customHeight="1">
      <c r="A71" s="103" t="s">
        <v>570</v>
      </c>
      <c r="B71" s="6"/>
      <c r="C71" s="6"/>
      <c r="D71" s="45"/>
      <c r="E71" s="45"/>
    </row>
    <row r="72" ht="12.75">
      <c r="B72" s="11" t="s">
        <v>563</v>
      </c>
    </row>
    <row r="73" spans="1:8" ht="12.75">
      <c r="A73" s="103"/>
      <c r="B73" s="52" t="s">
        <v>564</v>
      </c>
      <c r="D73" t="s">
        <v>565</v>
      </c>
      <c r="F73" t="s">
        <v>334</v>
      </c>
      <c r="G73" s="163">
        <v>4000</v>
      </c>
      <c r="H73" t="s">
        <v>566</v>
      </c>
    </row>
    <row r="74" spans="1:7" ht="12.75">
      <c r="A74" s="103"/>
      <c r="B74" s="52">
        <v>3829.4396002643443</v>
      </c>
      <c r="D74" s="52">
        <v>4284.132911853292</v>
      </c>
      <c r="E74" t="s">
        <v>566</v>
      </c>
      <c r="G74" s="52"/>
    </row>
    <row r="75" spans="1:8" ht="12.75">
      <c r="A75" s="103"/>
      <c r="B75" s="52"/>
      <c r="D75" t="s">
        <v>571</v>
      </c>
      <c r="G75" s="52">
        <v>3000</v>
      </c>
      <c r="H75" t="s">
        <v>572</v>
      </c>
    </row>
    <row r="77" spans="1:2" ht="12.75">
      <c r="A77" s="103" t="s">
        <v>569</v>
      </c>
      <c r="B77" t="s">
        <v>567</v>
      </c>
    </row>
    <row r="78" ht="12.75">
      <c r="B78" t="s">
        <v>568</v>
      </c>
    </row>
    <row r="79" ht="12.75">
      <c r="B79" t="s">
        <v>577</v>
      </c>
    </row>
    <row r="81" spans="1:2" ht="12.75">
      <c r="A81" t="s">
        <v>259</v>
      </c>
      <c r="B81" t="s">
        <v>257</v>
      </c>
    </row>
    <row r="82" spans="2:4" ht="12.75">
      <c r="B82" t="s">
        <v>258</v>
      </c>
      <c r="D82" s="108">
        <v>40210</v>
      </c>
    </row>
    <row r="84" spans="1:2" ht="12.75">
      <c r="A84" t="s">
        <v>315</v>
      </c>
      <c r="B84" t="s">
        <v>326</v>
      </c>
    </row>
    <row r="86" spans="1:5" ht="12.75">
      <c r="A86" s="171"/>
      <c r="B86" s="172" t="s">
        <v>316</v>
      </c>
      <c r="C86" s="173" t="s">
        <v>317</v>
      </c>
      <c r="D86" s="173">
        <v>750</v>
      </c>
      <c r="E86" s="174" t="s">
        <v>41</v>
      </c>
    </row>
    <row r="87" spans="1:4" ht="12.75">
      <c r="A87" s="157"/>
      <c r="B87" s="175" t="s">
        <v>318</v>
      </c>
      <c r="C87" s="177">
        <v>0.13</v>
      </c>
      <c r="D87" s="178"/>
    </row>
    <row r="88" spans="1:4" ht="12.75">
      <c r="A88" s="159"/>
      <c r="B88" s="38" t="s">
        <v>319</v>
      </c>
      <c r="C88" s="179">
        <v>5.6487571031999995</v>
      </c>
      <c r="D88" s="178"/>
    </row>
    <row r="89" spans="1:4" ht="12.75">
      <c r="A89" s="159"/>
      <c r="B89" s="38" t="s">
        <v>320</v>
      </c>
      <c r="C89" s="179">
        <v>1.345</v>
      </c>
      <c r="D89" s="178"/>
    </row>
    <row r="90" spans="1:4" ht="12.75">
      <c r="A90" s="159"/>
      <c r="B90" s="38" t="s">
        <v>321</v>
      </c>
      <c r="C90" s="179">
        <v>0.2</v>
      </c>
      <c r="D90" s="178"/>
    </row>
    <row r="91" spans="1:4" ht="12.75">
      <c r="A91" s="159"/>
      <c r="B91" s="38" t="s">
        <v>322</v>
      </c>
      <c r="C91" s="179">
        <v>0.7</v>
      </c>
      <c r="D91" s="178"/>
    </row>
    <row r="92" spans="1:4" ht="12.75">
      <c r="A92" s="159"/>
      <c r="B92" s="38" t="s">
        <v>323</v>
      </c>
      <c r="C92" s="179">
        <v>0.415</v>
      </c>
      <c r="D92" s="178"/>
    </row>
    <row r="93" spans="1:5" ht="12.75">
      <c r="A93" s="161"/>
      <c r="B93" s="176" t="s">
        <v>324</v>
      </c>
      <c r="C93" s="180">
        <v>8.438757103199999</v>
      </c>
      <c r="D93" s="181">
        <v>11251.676137599998</v>
      </c>
      <c r="E93" s="174" t="s">
        <v>325</v>
      </c>
    </row>
    <row r="94" spans="2:6" ht="12.75">
      <c r="B94" t="s">
        <v>571</v>
      </c>
      <c r="D94" s="52">
        <v>7824</v>
      </c>
      <c r="E94" t="s">
        <v>572</v>
      </c>
      <c r="F94" t="s">
        <v>573</v>
      </c>
    </row>
    <row r="97" spans="1:2" ht="12.75">
      <c r="A97" t="s">
        <v>330</v>
      </c>
      <c r="B97" t="s">
        <v>575</v>
      </c>
    </row>
    <row r="98" ht="12.75">
      <c r="B98" s="205" t="s">
        <v>574</v>
      </c>
    </row>
    <row r="99" ht="12.75">
      <c r="B99" s="52" t="s">
        <v>576</v>
      </c>
    </row>
    <row r="100" spans="1:2" ht="12.75">
      <c r="A100" s="58"/>
      <c r="B100" s="52" t="s">
        <v>577</v>
      </c>
    </row>
    <row r="103" spans="1:2" ht="12.75">
      <c r="A103" t="s">
        <v>377</v>
      </c>
      <c r="B103" t="s">
        <v>378</v>
      </c>
    </row>
    <row r="105" spans="1:6" ht="12.75">
      <c r="A105" s="58" t="s">
        <v>379</v>
      </c>
      <c r="B105" s="52">
        <v>41000</v>
      </c>
      <c r="C105" t="s">
        <v>381</v>
      </c>
      <c r="E105" s="163">
        <f>B105+B107+B108</f>
        <v>118000</v>
      </c>
      <c r="F105" s="205" t="s">
        <v>386</v>
      </c>
    </row>
    <row r="106" spans="1:6" ht="12.75">
      <c r="A106" s="58" t="s">
        <v>380</v>
      </c>
      <c r="B106" s="52">
        <v>105000</v>
      </c>
      <c r="C106" t="s">
        <v>382</v>
      </c>
      <c r="E106" s="163">
        <f>B106+B107+B108</f>
        <v>182000</v>
      </c>
      <c r="F106" t="s">
        <v>387</v>
      </c>
    </row>
    <row r="107" spans="1:6" ht="12.75">
      <c r="A107" s="58" t="s">
        <v>384</v>
      </c>
      <c r="B107" s="52">
        <v>57000</v>
      </c>
      <c r="C107" t="s">
        <v>385</v>
      </c>
      <c r="F107" t="s">
        <v>388</v>
      </c>
    </row>
    <row r="108" spans="1:2" ht="12.75">
      <c r="A108" s="58" t="s">
        <v>383</v>
      </c>
      <c r="B108" s="52">
        <v>20000</v>
      </c>
    </row>
  </sheetData>
  <mergeCells count="1">
    <mergeCell ref="A66:C66"/>
  </mergeCells>
  <printOptions/>
  <pageMargins left="0.32" right="0.28" top="0.81" bottom="0.6" header="0.5" footer="0.5"/>
  <pageSetup fitToHeight="0" fitToWidth="1" horizontalDpi="600" verticalDpi="6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8">
      <selection activeCell="A21" sqref="A21"/>
    </sheetView>
  </sheetViews>
  <sheetFormatPr defaultColWidth="9.140625" defaultRowHeight="12.75"/>
  <cols>
    <col min="1" max="1" width="32.00390625" style="0" customWidth="1"/>
    <col min="2" max="4" width="12.28125" style="0" customWidth="1"/>
    <col min="5" max="7" width="17.00390625" style="0" customWidth="1"/>
    <col min="10" max="10" width="11.140625" style="0" bestFit="1" customWidth="1"/>
  </cols>
  <sheetData>
    <row r="1" ht="18">
      <c r="A1" s="101" t="s">
        <v>523</v>
      </c>
    </row>
    <row r="3" spans="1:4" ht="12.75">
      <c r="A3" s="21" t="s">
        <v>522</v>
      </c>
      <c r="B3">
        <v>4000</v>
      </c>
      <c r="C3" t="s">
        <v>88</v>
      </c>
      <c r="D3" t="s">
        <v>329</v>
      </c>
    </row>
    <row r="4" spans="2:4" ht="12.75">
      <c r="B4" s="20">
        <v>0.55</v>
      </c>
      <c r="C4" t="s">
        <v>236</v>
      </c>
      <c r="D4" t="s">
        <v>331</v>
      </c>
    </row>
    <row r="5" spans="2:3" ht="12.75">
      <c r="B5" s="182">
        <v>0.5</v>
      </c>
      <c r="C5" t="s">
        <v>332</v>
      </c>
    </row>
    <row r="6" spans="2:3" ht="12.75">
      <c r="B6" s="48">
        <f>B3*B4*(1+B5)</f>
        <v>3300</v>
      </c>
      <c r="C6" t="s">
        <v>333</v>
      </c>
    </row>
    <row r="7" spans="2:7" ht="12.75">
      <c r="B7" s="48">
        <f>(1-B4)*B3+B6</f>
        <v>5100</v>
      </c>
      <c r="C7" t="s">
        <v>237</v>
      </c>
      <c r="G7" t="s">
        <v>529</v>
      </c>
    </row>
    <row r="8" ht="12.75">
      <c r="G8" t="s">
        <v>530</v>
      </c>
    </row>
    <row r="9" spans="7:8" ht="12.75">
      <c r="G9">
        <v>23.8</v>
      </c>
      <c r="H9" t="s">
        <v>512</v>
      </c>
    </row>
    <row r="10" spans="7:11" ht="12.75">
      <c r="G10">
        <v>2.975</v>
      </c>
      <c r="H10" t="s">
        <v>531</v>
      </c>
      <c r="J10">
        <f>G10*9000000</f>
        <v>26775000</v>
      </c>
      <c r="K10" t="s">
        <v>532</v>
      </c>
    </row>
    <row r="11" ht="12.75">
      <c r="A11" s="21" t="s">
        <v>521</v>
      </c>
    </row>
    <row r="12" spans="1:9" ht="12.75">
      <c r="A12" s="58" t="s">
        <v>538</v>
      </c>
      <c r="B12" t="s">
        <v>240</v>
      </c>
      <c r="C12">
        <v>10</v>
      </c>
      <c r="D12" t="s">
        <v>514</v>
      </c>
      <c r="E12" s="52">
        <f>G24*1000000</f>
        <v>3448003.416599599</v>
      </c>
      <c r="G12" t="s">
        <v>525</v>
      </c>
      <c r="I12" t="s">
        <v>526</v>
      </c>
    </row>
    <row r="13" spans="1:12" ht="12.75">
      <c r="A13" s="58"/>
      <c r="B13" t="s">
        <v>533</v>
      </c>
      <c r="C13">
        <v>9</v>
      </c>
      <c r="D13" t="s">
        <v>534</v>
      </c>
      <c r="E13" s="52">
        <f>J10</f>
        <v>26775000</v>
      </c>
      <c r="G13" t="s">
        <v>527</v>
      </c>
      <c r="L13">
        <f>220000/5000</f>
        <v>44</v>
      </c>
    </row>
    <row r="14" spans="1:10" ht="12.75">
      <c r="A14" s="58"/>
      <c r="B14" t="s">
        <v>241</v>
      </c>
      <c r="C14">
        <v>18</v>
      </c>
      <c r="D14" s="102" t="s">
        <v>515</v>
      </c>
      <c r="E14" s="52">
        <f>G30*1000000</f>
        <v>2139024.412301884</v>
      </c>
      <c r="F14" t="s">
        <v>41</v>
      </c>
      <c r="G14">
        <v>16030</v>
      </c>
      <c r="H14" t="s">
        <v>528</v>
      </c>
      <c r="I14">
        <v>0.474</v>
      </c>
      <c r="J14" s="52">
        <f>G14*I14</f>
        <v>7598.219999999999</v>
      </c>
    </row>
    <row r="15" spans="1:10" ht="12.75">
      <c r="A15" s="58"/>
      <c r="E15" s="52">
        <f>SUM(E12:E14)</f>
        <v>32362027.82890148</v>
      </c>
      <c r="G15">
        <f>G14*45</f>
        <v>721350</v>
      </c>
      <c r="J15" s="255">
        <f>45*J14</f>
        <v>341919.89999999997</v>
      </c>
    </row>
    <row r="16" ht="12.75">
      <c r="A16" s="58"/>
    </row>
    <row r="17" ht="12.75">
      <c r="A17" s="58"/>
    </row>
    <row r="18" spans="1:5" ht="12.75">
      <c r="A18" s="58" t="s">
        <v>539</v>
      </c>
      <c r="B18" t="s">
        <v>240</v>
      </c>
      <c r="C18">
        <v>5</v>
      </c>
      <c r="D18" t="s">
        <v>514</v>
      </c>
      <c r="E18" s="52">
        <f>E12*C18/C12</f>
        <v>1724001.7082997996</v>
      </c>
    </row>
    <row r="19" spans="2:5" ht="12.75">
      <c r="B19" t="s">
        <v>533</v>
      </c>
      <c r="C19">
        <v>2.5</v>
      </c>
      <c r="D19" t="s">
        <v>534</v>
      </c>
      <c r="E19" s="52">
        <f>E13*C19/C13</f>
        <v>7437500</v>
      </c>
    </row>
    <row r="20" spans="2:5" ht="12.75">
      <c r="B20" t="s">
        <v>241</v>
      </c>
      <c r="C20">
        <v>18</v>
      </c>
      <c r="D20" s="102" t="s">
        <v>515</v>
      </c>
      <c r="E20" s="52">
        <f>E14</f>
        <v>2139024.412301884</v>
      </c>
    </row>
    <row r="21" ht="12.75">
      <c r="E21" s="52">
        <f>SUM(E18:E20)</f>
        <v>11300526.120601684</v>
      </c>
    </row>
    <row r="22" spans="1:7" ht="12.75">
      <c r="A22" s="183" t="s">
        <v>335</v>
      </c>
      <c r="B22" s="170"/>
      <c r="C22" s="170"/>
      <c r="D22" s="170"/>
      <c r="E22" s="170"/>
      <c r="F22" s="170"/>
      <c r="G22" s="170"/>
    </row>
    <row r="23" spans="1:7" ht="12.75">
      <c r="A23" s="184" t="s">
        <v>336</v>
      </c>
      <c r="B23" s="184" t="s">
        <v>27</v>
      </c>
      <c r="C23" s="184" t="s">
        <v>337</v>
      </c>
      <c r="D23" s="170"/>
      <c r="E23" s="184">
        <v>10</v>
      </c>
      <c r="F23" s="184" t="s">
        <v>338</v>
      </c>
      <c r="G23" s="184" t="s">
        <v>339</v>
      </c>
    </row>
    <row r="24" spans="1:7" ht="12.75">
      <c r="A24" s="185" t="s">
        <v>340</v>
      </c>
      <c r="B24" s="185">
        <v>11000</v>
      </c>
      <c r="C24" s="185">
        <f>B24*0.9</f>
        <v>9900</v>
      </c>
      <c r="D24" s="170">
        <f>C24/300</f>
        <v>33</v>
      </c>
      <c r="E24" s="186" t="s">
        <v>341</v>
      </c>
      <c r="F24" s="260">
        <f>E23*C26/1000000</f>
        <v>3.831114907332888</v>
      </c>
      <c r="G24" s="195">
        <f>0.9*F24</f>
        <v>3.448003416599599</v>
      </c>
    </row>
    <row r="25" spans="1:7" ht="12.75">
      <c r="A25" s="185" t="s">
        <v>342</v>
      </c>
      <c r="B25" s="185">
        <v>28000</v>
      </c>
      <c r="C25" s="185">
        <f>B25*0.9</f>
        <v>25200</v>
      </c>
      <c r="D25" s="170">
        <f>C25/300</f>
        <v>84</v>
      </c>
      <c r="E25" s="186" t="s">
        <v>343</v>
      </c>
      <c r="F25" s="195">
        <f>10*C27/1000000</f>
        <v>10.08</v>
      </c>
      <c r="G25" s="195">
        <f>0.9*F25</f>
        <v>9.072000000000001</v>
      </c>
    </row>
    <row r="26" spans="1:7" ht="12.75">
      <c r="A26" s="187" t="s">
        <v>344</v>
      </c>
      <c r="B26" s="200">
        <f>B24^(1+B24/B25)</f>
        <v>425679.4341480987</v>
      </c>
      <c r="C26" s="198">
        <f>B26*0.9</f>
        <v>383111.4907332888</v>
      </c>
      <c r="D26" s="262">
        <f>C26/1200</f>
        <v>319.259575611074</v>
      </c>
      <c r="E26" s="170"/>
      <c r="F26" s="196"/>
      <c r="G26" s="196"/>
    </row>
    <row r="27" spans="1:7" ht="12.75">
      <c r="A27" s="188" t="s">
        <v>345</v>
      </c>
      <c r="B27" s="201">
        <f>(B25/B24)*B24*40</f>
        <v>1120000</v>
      </c>
      <c r="C27" s="199">
        <f>(C25/C24)*C24*40</f>
        <v>1008000</v>
      </c>
      <c r="D27" s="261">
        <f>C27/1200</f>
        <v>840</v>
      </c>
      <c r="E27" s="170"/>
      <c r="F27" s="196"/>
      <c r="G27" s="196"/>
    </row>
    <row r="28" spans="1:7" ht="12.75">
      <c r="A28" s="189"/>
      <c r="B28" s="189"/>
      <c r="C28" s="189"/>
      <c r="D28" s="170"/>
      <c r="E28" s="170"/>
      <c r="F28" s="196"/>
      <c r="G28" s="196"/>
    </row>
    <row r="29" spans="1:7" ht="12.75">
      <c r="A29" s="184" t="s">
        <v>346</v>
      </c>
      <c r="B29" s="184" t="s">
        <v>27</v>
      </c>
      <c r="C29" s="184" t="s">
        <v>337</v>
      </c>
      <c r="D29" s="170"/>
      <c r="E29" s="190" t="s">
        <v>347</v>
      </c>
      <c r="F29" s="197" t="s">
        <v>338</v>
      </c>
      <c r="G29" s="197" t="s">
        <v>339</v>
      </c>
    </row>
    <row r="30" spans="1:9" ht="12.75">
      <c r="A30" s="185" t="s">
        <v>348</v>
      </c>
      <c r="B30" s="185">
        <v>8500</v>
      </c>
      <c r="C30" s="185">
        <f>0.9*B30</f>
        <v>7650</v>
      </c>
      <c r="D30" s="170">
        <f>C30</f>
        <v>7650</v>
      </c>
      <c r="E30" s="186" t="s">
        <v>341</v>
      </c>
      <c r="F30" s="195">
        <f>18*C32/1000000</f>
        <v>2.376693791446538</v>
      </c>
      <c r="G30" s="195">
        <f>F30*0.9</f>
        <v>2.1390244123018842</v>
      </c>
      <c r="H30">
        <f>320/12</f>
        <v>26.666666666666668</v>
      </c>
      <c r="I30">
        <f>28*C31</f>
        <v>680400</v>
      </c>
    </row>
    <row r="31" spans="1:7" ht="12.75">
      <c r="A31" s="185" t="s">
        <v>349</v>
      </c>
      <c r="B31" s="185">
        <v>27000</v>
      </c>
      <c r="C31" s="185">
        <f>0.9*B31</f>
        <v>24300</v>
      </c>
      <c r="D31" s="170">
        <f>C31/5</f>
        <v>4860</v>
      </c>
      <c r="E31" s="186" t="s">
        <v>343</v>
      </c>
      <c r="F31" s="195">
        <f>18*C33/1000000</f>
        <v>8.748</v>
      </c>
      <c r="G31" s="195">
        <f>F31*0.9</f>
        <v>7.8732</v>
      </c>
    </row>
    <row r="32" spans="1:7" ht="14.25">
      <c r="A32" s="191" t="s">
        <v>350</v>
      </c>
      <c r="B32" s="200">
        <f>B30^(1+B30/B31)</f>
        <v>146709.493299169</v>
      </c>
      <c r="C32" s="198">
        <f>0.9*B32</f>
        <v>132038.54396925212</v>
      </c>
      <c r="D32" s="262">
        <f>C32/20</f>
        <v>6601.927198462606</v>
      </c>
      <c r="E32" s="170"/>
      <c r="F32" s="196"/>
      <c r="G32" s="196"/>
    </row>
    <row r="33" spans="1:7" ht="12.75">
      <c r="A33" s="188" t="s">
        <v>351</v>
      </c>
      <c r="B33" s="201">
        <f>(B31/B30)*B30*20</f>
        <v>540000</v>
      </c>
      <c r="C33" s="199">
        <f>0.9*B33</f>
        <v>486000</v>
      </c>
      <c r="D33" s="170"/>
      <c r="E33" s="170"/>
      <c r="F33" s="196"/>
      <c r="G33" s="196"/>
    </row>
    <row r="34" spans="1:7" ht="12.75">
      <c r="A34" s="189"/>
      <c r="B34" s="189"/>
      <c r="C34" s="189"/>
      <c r="D34" s="170"/>
      <c r="E34" s="258" t="s">
        <v>524</v>
      </c>
      <c r="F34" s="196"/>
      <c r="G34" s="196"/>
    </row>
    <row r="35" spans="1:7" ht="12.75">
      <c r="A35" s="184" t="s">
        <v>352</v>
      </c>
      <c r="B35" s="184" t="s">
        <v>27</v>
      </c>
      <c r="C35" s="184" t="s">
        <v>337</v>
      </c>
      <c r="D35" s="253" t="s">
        <v>513</v>
      </c>
      <c r="E35" s="190">
        <f>220000000</f>
        <v>220000000</v>
      </c>
      <c r="F35" s="197" t="s">
        <v>338</v>
      </c>
      <c r="G35" s="197" t="s">
        <v>353</v>
      </c>
    </row>
    <row r="36" spans="1:7" ht="12.75">
      <c r="A36" s="185" t="s">
        <v>354</v>
      </c>
      <c r="B36" s="185">
        <v>1200</v>
      </c>
      <c r="C36" s="185">
        <f>0.9*B36</f>
        <v>1080</v>
      </c>
      <c r="D36" s="170">
        <f>C36/60</f>
        <v>18</v>
      </c>
      <c r="E36" s="186" t="s">
        <v>341</v>
      </c>
      <c r="F36" s="254">
        <f>D39*E35/1000000</f>
        <v>1584</v>
      </c>
      <c r="G36" s="195">
        <f>F36*0.75</f>
        <v>1188</v>
      </c>
    </row>
    <row r="37" spans="1:7" ht="12.75">
      <c r="A37" s="185" t="s">
        <v>355</v>
      </c>
      <c r="B37" s="185">
        <v>40000</v>
      </c>
      <c r="C37" s="185">
        <f>0.9*B37</f>
        <v>36000</v>
      </c>
      <c r="D37" s="170">
        <f>C37/750</f>
        <v>48</v>
      </c>
      <c r="E37" s="186" t="s">
        <v>343</v>
      </c>
      <c r="F37" s="195">
        <f>1560*C39/1000000</f>
        <v>168.48</v>
      </c>
      <c r="G37" s="195">
        <f>F37*0.75</f>
        <v>126.35999999999999</v>
      </c>
    </row>
    <row r="38" spans="1:7" ht="12.75">
      <c r="A38" s="187" t="s">
        <v>356</v>
      </c>
      <c r="B38" s="200">
        <f>B37^(B36/B37+1)</f>
        <v>54969.500557725594</v>
      </c>
      <c r="C38" s="198">
        <f>0.9*B38</f>
        <v>49472.55050195304</v>
      </c>
      <c r="D38" s="196">
        <f>C38/15000</f>
        <v>3.2981700334635358</v>
      </c>
      <c r="E38" s="170"/>
      <c r="F38" s="196"/>
      <c r="G38" s="196"/>
    </row>
    <row r="39" spans="1:7" ht="12.75">
      <c r="A39" s="188" t="s">
        <v>357</v>
      </c>
      <c r="B39" s="201">
        <f>(B36/B37)*B37*100</f>
        <v>120000</v>
      </c>
      <c r="C39" s="199">
        <f>0.9*B39</f>
        <v>108000</v>
      </c>
      <c r="D39" s="196">
        <f>C39/15000</f>
        <v>7.2</v>
      </c>
      <c r="E39" s="170"/>
      <c r="F39" s="196"/>
      <c r="G39" s="196"/>
    </row>
    <row r="40" spans="1:7" ht="12.75">
      <c r="A40" s="170"/>
      <c r="B40" s="170"/>
      <c r="C40" s="170"/>
      <c r="D40" s="170"/>
      <c r="E40" s="170"/>
      <c r="F40" s="196"/>
      <c r="G40" s="196"/>
    </row>
    <row r="41" spans="1:7" ht="12.75">
      <c r="A41" s="170"/>
      <c r="B41" s="170"/>
      <c r="C41" s="170"/>
      <c r="D41" s="170"/>
      <c r="E41" s="170"/>
      <c r="F41" s="196"/>
      <c r="G41" s="196"/>
    </row>
    <row r="42" spans="1:7" ht="12.75">
      <c r="A42" s="192" t="s">
        <v>358</v>
      </c>
      <c r="B42" s="192" t="s">
        <v>359</v>
      </c>
      <c r="C42" s="170"/>
      <c r="D42" s="170"/>
      <c r="E42" s="170"/>
      <c r="F42" s="170"/>
      <c r="G42" s="170"/>
    </row>
    <row r="43" spans="1:7" ht="12.75">
      <c r="A43" s="193" t="s">
        <v>360</v>
      </c>
      <c r="B43" s="263">
        <f>(G24+G30+G36)</f>
        <v>1193.5870278289015</v>
      </c>
      <c r="C43" s="170"/>
      <c r="D43" s="170"/>
      <c r="E43" s="170"/>
      <c r="F43" s="170"/>
      <c r="G43" s="170"/>
    </row>
    <row r="44" spans="1:7" ht="12.75">
      <c r="A44" s="194" t="s">
        <v>361</v>
      </c>
      <c r="B44" s="264">
        <f>G25+G31+G37</f>
        <v>143.30519999999999</v>
      </c>
      <c r="C44" s="170"/>
      <c r="D44" s="170"/>
      <c r="E44" s="170"/>
      <c r="F44" s="170"/>
      <c r="G44" s="170"/>
    </row>
    <row r="47" ht="12.75">
      <c r="A47" s="21" t="s">
        <v>362</v>
      </c>
    </row>
    <row r="48" ht="12.75">
      <c r="A48" t="s">
        <v>363</v>
      </c>
    </row>
    <row r="50" ht="12.75">
      <c r="A50" t="s">
        <v>364</v>
      </c>
    </row>
    <row r="52" spans="1:5" ht="12.75">
      <c r="A52" t="s">
        <v>311</v>
      </c>
      <c r="B52" t="s">
        <v>365</v>
      </c>
      <c r="D52" t="s">
        <v>391</v>
      </c>
      <c r="E52" s="52">
        <v>1000000</v>
      </c>
    </row>
    <row r="54" spans="1:6" ht="12.75">
      <c r="A54" t="s">
        <v>366</v>
      </c>
      <c r="B54" s="52">
        <v>41000</v>
      </c>
      <c r="D54" t="s">
        <v>281</v>
      </c>
      <c r="E54" s="52">
        <f>B54+B55</f>
        <v>97000</v>
      </c>
      <c r="F54" t="s">
        <v>59</v>
      </c>
    </row>
    <row r="55" spans="1:2" ht="12.75">
      <c r="A55" t="s">
        <v>367</v>
      </c>
      <c r="B55" s="52">
        <v>56000</v>
      </c>
    </row>
    <row r="57" spans="1:3" ht="12.75">
      <c r="A57" t="s">
        <v>368</v>
      </c>
      <c r="B57" s="202">
        <v>35</v>
      </c>
      <c r="C57" t="s">
        <v>373</v>
      </c>
    </row>
    <row r="58" spans="2:3" ht="12.75">
      <c r="B58">
        <v>14850</v>
      </c>
      <c r="C58" t="s">
        <v>392</v>
      </c>
    </row>
    <row r="59" spans="2:3" ht="12.75">
      <c r="B59" s="20">
        <v>0.2</v>
      </c>
      <c r="C59" t="s">
        <v>393</v>
      </c>
    </row>
    <row r="60" spans="2:3" ht="12.75">
      <c r="B60" s="202">
        <f>B58*B57*B59</f>
        <v>103950</v>
      </c>
      <c r="C60" t="s">
        <v>369</v>
      </c>
    </row>
    <row r="62" spans="1:6" ht="12.75">
      <c r="A62" t="s">
        <v>370</v>
      </c>
      <c r="B62" s="202">
        <v>62000</v>
      </c>
      <c r="C62" t="s">
        <v>59</v>
      </c>
      <c r="E62" s="202">
        <f>B60+B62</f>
        <v>165950</v>
      </c>
      <c r="F62" t="s">
        <v>59</v>
      </c>
    </row>
    <row r="63" spans="1:3" ht="12.75">
      <c r="A63" t="s">
        <v>371</v>
      </c>
      <c r="B63" s="202">
        <v>11000</v>
      </c>
      <c r="C63" t="s">
        <v>372</v>
      </c>
    </row>
  </sheetData>
  <hyperlinks>
    <hyperlink ref="A22" r:id="rId1" display="http://www.tropical.gr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workbookViewId="0" topLeftCell="A1">
      <pane xSplit="1" ySplit="13" topLeftCell="C3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0" sqref="E10:K10"/>
    </sheetView>
  </sheetViews>
  <sheetFormatPr defaultColWidth="9.140625" defaultRowHeight="12.75"/>
  <cols>
    <col min="1" max="1" width="27.57421875" style="10" customWidth="1"/>
    <col min="2" max="2" width="38.140625" style="0" customWidth="1"/>
    <col min="3" max="3" width="11.57421875" style="44" customWidth="1"/>
    <col min="4" max="9" width="11.00390625" style="44" customWidth="1"/>
    <col min="10" max="11" width="11.421875" style="0" customWidth="1"/>
    <col min="12" max="12" width="24.140625" style="8" customWidth="1"/>
    <col min="14" max="14" width="13.28125" style="0" customWidth="1"/>
    <col min="20" max="20" width="10.140625" style="0" bestFit="1" customWidth="1"/>
    <col min="23" max="23" width="11.140625" style="0" bestFit="1" customWidth="1"/>
  </cols>
  <sheetData>
    <row r="1" spans="1:16" ht="15.75">
      <c r="A1" s="9" t="s">
        <v>0</v>
      </c>
      <c r="J1" s="44"/>
      <c r="L1"/>
      <c r="M1" s="22" t="s">
        <v>25</v>
      </c>
      <c r="N1" s="23">
        <v>1.514</v>
      </c>
      <c r="O1" s="23" t="s">
        <v>26</v>
      </c>
      <c r="P1" s="24"/>
    </row>
    <row r="2" spans="1:18" ht="15.75">
      <c r="A2" s="9" t="s">
        <v>501</v>
      </c>
      <c r="J2" s="44"/>
      <c r="L2"/>
      <c r="M2" s="25" t="s">
        <v>25</v>
      </c>
      <c r="N2" s="26">
        <v>1.1082</v>
      </c>
      <c r="O2" s="26" t="s">
        <v>27</v>
      </c>
      <c r="P2" s="27"/>
      <c r="R2" s="21" t="s">
        <v>196</v>
      </c>
    </row>
    <row r="3" spans="1:22" ht="30.75" customHeight="1">
      <c r="A3" s="9"/>
      <c r="B3" s="236" t="s">
        <v>251</v>
      </c>
      <c r="E3" s="239" t="s">
        <v>487</v>
      </c>
      <c r="F3" s="164" t="s">
        <v>485</v>
      </c>
      <c r="G3" s="164" t="s">
        <v>486</v>
      </c>
      <c r="H3" s="164" t="s">
        <v>488</v>
      </c>
      <c r="I3" s="164" t="s">
        <v>541</v>
      </c>
      <c r="J3" s="164" t="s">
        <v>489</v>
      </c>
      <c r="K3" s="164" t="s">
        <v>490</v>
      </c>
      <c r="L3"/>
      <c r="N3" s="25" t="s">
        <v>91</v>
      </c>
      <c r="O3" s="26">
        <v>4046.856</v>
      </c>
      <c r="P3" s="26" t="s">
        <v>31</v>
      </c>
      <c r="Q3" s="27"/>
      <c r="U3" s="87" t="s">
        <v>189</v>
      </c>
      <c r="V3" t="s">
        <v>499</v>
      </c>
    </row>
    <row r="4" spans="1:17" ht="12.75" customHeight="1">
      <c r="A4" s="9"/>
      <c r="B4" s="236" t="s">
        <v>495</v>
      </c>
      <c r="C4" s="106">
        <f>SUM(C5:C10)</f>
        <v>3674273.5266792523</v>
      </c>
      <c r="E4" s="247"/>
      <c r="F4" s="19"/>
      <c r="G4" s="19"/>
      <c r="H4" s="19"/>
      <c r="I4" s="19"/>
      <c r="J4" s="19"/>
      <c r="K4" s="227"/>
      <c r="L4"/>
      <c r="N4" s="25"/>
      <c r="O4" s="26"/>
      <c r="P4" s="26"/>
      <c r="Q4" s="27"/>
    </row>
    <row r="5" spans="1:25" ht="13.5" customHeight="1">
      <c r="A5" s="9"/>
      <c r="B5" t="s">
        <v>482</v>
      </c>
      <c r="C5" s="106">
        <f>I16</f>
        <v>1250000</v>
      </c>
      <c r="D5" s="248">
        <f aca="true" t="shared" si="0" ref="D5:D10">C5/$C$4</f>
        <v>0.3402033057483691</v>
      </c>
      <c r="E5" s="39"/>
      <c r="F5" s="45"/>
      <c r="G5" s="45"/>
      <c r="H5" s="45"/>
      <c r="I5" s="45"/>
      <c r="J5" s="45"/>
      <c r="K5" s="71"/>
      <c r="L5"/>
      <c r="N5" s="25"/>
      <c r="O5" s="26"/>
      <c r="P5" s="26"/>
      <c r="Q5" s="27"/>
      <c r="T5" s="58" t="s">
        <v>187</v>
      </c>
      <c r="U5" s="66">
        <f>D5+D6+D8+X5/C4</f>
        <v>0.6599973738342254</v>
      </c>
      <c r="V5" s="20">
        <f>'Iceland study'!H74</f>
        <v>0.43997931521835426</v>
      </c>
      <c r="X5" s="52">
        <f>3*I39</f>
        <v>322095.7727873184</v>
      </c>
      <c r="Y5" t="s">
        <v>498</v>
      </c>
    </row>
    <row r="6" spans="1:22" ht="13.5" customHeight="1">
      <c r="A6" s="9"/>
      <c r="B6" t="s">
        <v>483</v>
      </c>
      <c r="C6" s="106">
        <f>SUM(I20:I24)</f>
        <v>516826.2879788639</v>
      </c>
      <c r="D6" s="248">
        <f t="shared" si="0"/>
        <v>0.14066080933445446</v>
      </c>
      <c r="E6" s="39"/>
      <c r="F6" s="45"/>
      <c r="G6" s="45"/>
      <c r="H6" s="45"/>
      <c r="I6" s="45"/>
      <c r="J6" s="45"/>
      <c r="K6" s="71"/>
      <c r="L6"/>
      <c r="N6" s="40" t="s">
        <v>28</v>
      </c>
      <c r="O6" s="41">
        <v>0.29307107</v>
      </c>
      <c r="P6" s="41" t="s">
        <v>29</v>
      </c>
      <c r="Q6" s="42"/>
      <c r="T6" s="58" t="s">
        <v>434</v>
      </c>
      <c r="U6" s="66">
        <f>D7</f>
        <v>0.09461725607362151</v>
      </c>
      <c r="V6" s="20">
        <f>'Iceland study'!H75</f>
        <v>0.28184045110954076</v>
      </c>
    </row>
    <row r="7" spans="1:23" ht="13.5" customHeight="1">
      <c r="A7" s="9"/>
      <c r="B7" t="s">
        <v>434</v>
      </c>
      <c r="C7" s="106">
        <f>SUM(I26:I28)</f>
        <v>347649.6791583392</v>
      </c>
      <c r="D7" s="248">
        <f t="shared" si="0"/>
        <v>0.09461725607362151</v>
      </c>
      <c r="E7" s="39"/>
      <c r="F7" s="45"/>
      <c r="G7" s="45"/>
      <c r="H7" s="45"/>
      <c r="I7" s="45"/>
      <c r="J7" s="45"/>
      <c r="K7" s="71"/>
      <c r="L7"/>
      <c r="N7" s="8"/>
      <c r="T7" s="58" t="s">
        <v>8</v>
      </c>
      <c r="U7" s="66">
        <f>D9-X5/C4</f>
        <v>0.16329758675921713</v>
      </c>
      <c r="V7" s="20">
        <f>'Iceland study'!H77</f>
        <v>0.15250164303917954</v>
      </c>
      <c r="W7" t="s">
        <v>497</v>
      </c>
    </row>
    <row r="8" spans="1:22" ht="13.5" customHeight="1">
      <c r="A8" s="9"/>
      <c r="B8" t="s">
        <v>544</v>
      </c>
      <c r="C8" s="106">
        <f>SUM(I31:I35)</f>
        <v>336088.817590742</v>
      </c>
      <c r="D8" s="248">
        <f t="shared" si="0"/>
        <v>0.09147082141554484</v>
      </c>
      <c r="E8" s="249">
        <v>1751532.9055444524</v>
      </c>
      <c r="F8" s="249">
        <v>336088.817590742</v>
      </c>
      <c r="G8" s="249">
        <v>5261834.243669653</v>
      </c>
      <c r="H8" s="249">
        <v>336088.817590742</v>
      </c>
      <c r="I8" s="249">
        <v>336088.817590742</v>
      </c>
      <c r="J8" s="249">
        <v>336088.817590742</v>
      </c>
      <c r="K8" s="250">
        <v>5884629.642369286</v>
      </c>
      <c r="L8"/>
      <c r="N8" s="8"/>
      <c r="T8" s="58" t="s">
        <v>188</v>
      </c>
      <c r="U8" s="66">
        <f>D10</f>
        <v>0.0820877833329359</v>
      </c>
      <c r="V8" s="20">
        <f>'Iceland study'!H76</f>
        <v>0.12567859063292547</v>
      </c>
    </row>
    <row r="9" spans="1:14" ht="13.5" customHeight="1">
      <c r="A9" s="9"/>
      <c r="B9" t="s">
        <v>484</v>
      </c>
      <c r="C9" s="106">
        <f>3*(I38+I39)</f>
        <v>922095.7727873183</v>
      </c>
      <c r="D9" s="248">
        <f t="shared" si="0"/>
        <v>0.2509600240950742</v>
      </c>
      <c r="E9" s="39"/>
      <c r="F9" s="45"/>
      <c r="G9" s="45"/>
      <c r="H9" s="45"/>
      <c r="I9" s="45"/>
      <c r="J9" s="45"/>
      <c r="K9" s="71"/>
      <c r="L9"/>
      <c r="N9" s="8"/>
    </row>
    <row r="10" spans="1:14" ht="15.75">
      <c r="A10" s="9"/>
      <c r="B10" t="s">
        <v>492</v>
      </c>
      <c r="C10" s="106">
        <f>J10</f>
        <v>301612.9691639887</v>
      </c>
      <c r="D10" s="248">
        <f t="shared" si="0"/>
        <v>0.0820877833329359</v>
      </c>
      <c r="E10" s="75">
        <f aca="true" t="shared" si="1" ref="E10:K10">E11+E12</f>
        <v>177830.66533548618</v>
      </c>
      <c r="F10" s="49">
        <f t="shared" si="1"/>
        <v>1372235.7646141774</v>
      </c>
      <c r="G10" s="49">
        <f t="shared" si="1"/>
        <v>3379903.083292701</v>
      </c>
      <c r="H10" s="49">
        <f t="shared" si="1"/>
        <v>15402583.60267586</v>
      </c>
      <c r="I10" s="49">
        <f t="shared" si="1"/>
        <v>7268397.636311226</v>
      </c>
      <c r="J10" s="49">
        <f t="shared" si="1"/>
        <v>301612.9691639887</v>
      </c>
      <c r="K10" s="46">
        <f t="shared" si="1"/>
        <v>22987986.60449282</v>
      </c>
      <c r="L10"/>
      <c r="N10" s="8"/>
    </row>
    <row r="11" spans="2:22" s="10" customFormat="1" ht="13.5" customHeight="1">
      <c r="B11" s="44" t="s">
        <v>188</v>
      </c>
      <c r="C11" s="237"/>
      <c r="D11" s="237"/>
      <c r="E11" s="241">
        <f>3*I42</f>
        <v>1102886.6653354862</v>
      </c>
      <c r="F11" s="242">
        <f>3*I43</f>
        <v>1372235.7646141774</v>
      </c>
      <c r="G11" s="242">
        <f>3*I44</f>
        <v>3750617.9677677727</v>
      </c>
      <c r="H11" s="242">
        <f>3*I45</f>
        <v>15781015.60267586</v>
      </c>
      <c r="I11" s="242">
        <f>3*I46</f>
        <v>7646829.636311226</v>
      </c>
      <c r="J11" s="242">
        <f>3*I47</f>
        <v>1154429.9291639887</v>
      </c>
      <c r="K11" s="243">
        <f>3*I48</f>
        <v>22987986.60449282</v>
      </c>
      <c r="N11" s="55"/>
      <c r="S11"/>
      <c r="T11" s="44" t="s">
        <v>191</v>
      </c>
      <c r="U11" s="52">
        <f>C4/30</f>
        <v>122475.78422264174</v>
      </c>
      <c r="V11" s="52">
        <f>'Iceland study'!E84</f>
        <v>262794.2609637249</v>
      </c>
    </row>
    <row r="12" spans="2:22" s="10" customFormat="1" ht="19.5" customHeight="1">
      <c r="B12" s="44" t="s">
        <v>491</v>
      </c>
      <c r="C12" s="237"/>
      <c r="D12" s="237"/>
      <c r="E12" s="244">
        <f>-3*I51</f>
        <v>-925056</v>
      </c>
      <c r="F12" s="245">
        <f>-3*I52</f>
        <v>0</v>
      </c>
      <c r="G12" s="245">
        <f>-3*I53</f>
        <v>-370714.88447507186</v>
      </c>
      <c r="H12" s="245">
        <f>-3*I54</f>
        <v>-378432</v>
      </c>
      <c r="I12" s="245">
        <f>-3*I55</f>
        <v>-378432</v>
      </c>
      <c r="J12" s="245">
        <f>-3*I56</f>
        <v>-852816.96</v>
      </c>
      <c r="K12" s="246">
        <f>-3*I57</f>
        <v>0</v>
      </c>
      <c r="N12" s="55"/>
      <c r="R12"/>
      <c r="S12"/>
      <c r="T12" s="58" t="s">
        <v>496</v>
      </c>
      <c r="U12" s="48">
        <f>(C7+C8+I22)/(36*G28)</f>
        <v>13.18356404699284</v>
      </c>
      <c r="V12">
        <f>'Iceland study'!E86</f>
        <v>380</v>
      </c>
    </row>
    <row r="13" spans="3:21" ht="12.75">
      <c r="C13"/>
      <c r="D13"/>
      <c r="J13" s="44"/>
      <c r="L13"/>
      <c r="M13" s="8"/>
      <c r="Q13" s="233"/>
      <c r="R13" s="233"/>
      <c r="S13" s="233"/>
      <c r="T13" s="233"/>
      <c r="U13" s="233"/>
    </row>
    <row r="14" spans="1:21" s="233" customFormat="1" ht="38.25">
      <c r="A14" s="229" t="s">
        <v>7</v>
      </c>
      <c r="B14" s="230" t="s">
        <v>10</v>
      </c>
      <c r="C14" s="229"/>
      <c r="D14" s="230"/>
      <c r="E14" s="230"/>
      <c r="F14" s="230"/>
      <c r="G14" s="230"/>
      <c r="H14" s="230"/>
      <c r="I14" s="231" t="s">
        <v>479</v>
      </c>
      <c r="J14" s="232" t="s">
        <v>173</v>
      </c>
      <c r="K14" s="232" t="s">
        <v>174</v>
      </c>
      <c r="Q14"/>
      <c r="R14"/>
      <c r="S14"/>
      <c r="T14"/>
      <c r="U14"/>
    </row>
    <row r="15" spans="1:12" ht="12.75">
      <c r="A15" s="165" t="s">
        <v>2</v>
      </c>
      <c r="B15" s="5"/>
      <c r="C15" s="68"/>
      <c r="D15" s="69"/>
      <c r="E15" s="69"/>
      <c r="F15" s="69"/>
      <c r="G15" s="69"/>
      <c r="H15" s="69"/>
      <c r="I15" s="70"/>
      <c r="J15" s="16"/>
      <c r="K15" s="16"/>
      <c r="L15"/>
    </row>
    <row r="16" spans="1:12" ht="25.5">
      <c r="A16" s="11" t="s">
        <v>5</v>
      </c>
      <c r="B16" s="14" t="s">
        <v>272</v>
      </c>
      <c r="C16" s="45">
        <f>'IT costs'!B5</f>
        <v>250</v>
      </c>
      <c r="D16" s="80" t="s">
        <v>41</v>
      </c>
      <c r="F16" s="49">
        <f>'IT costs'!D5</f>
        <v>5000</v>
      </c>
      <c r="G16" s="36" t="s">
        <v>88</v>
      </c>
      <c r="H16" s="36"/>
      <c r="I16" s="46">
        <f>C16*F16</f>
        <v>1250000</v>
      </c>
      <c r="J16" s="17" t="s">
        <v>176</v>
      </c>
      <c r="K16" s="17" t="s">
        <v>176</v>
      </c>
      <c r="L16"/>
    </row>
    <row r="17" spans="1:12" ht="12.75">
      <c r="A17" s="11" t="s">
        <v>6</v>
      </c>
      <c r="B17" s="14" t="s">
        <v>13</v>
      </c>
      <c r="J17" s="17"/>
      <c r="K17" s="17"/>
      <c r="L17"/>
    </row>
    <row r="18" spans="1:21" ht="12.75">
      <c r="A18" s="12"/>
      <c r="B18" s="15"/>
      <c r="C18" s="54"/>
      <c r="D18" s="54"/>
      <c r="E18" s="54"/>
      <c r="F18" s="54"/>
      <c r="G18" s="54"/>
      <c r="H18" s="54"/>
      <c r="I18" s="73"/>
      <c r="J18" s="18"/>
      <c r="K18" s="18"/>
      <c r="L18"/>
      <c r="R18" s="2"/>
      <c r="S18" s="2"/>
      <c r="T18" s="2"/>
      <c r="U18" s="2"/>
    </row>
    <row r="19" spans="1:21" s="2" customFormat="1" ht="12.75">
      <c r="A19" s="166" t="s">
        <v>287</v>
      </c>
      <c r="B19" s="6"/>
      <c r="C19" s="39"/>
      <c r="D19" s="45"/>
      <c r="E19" s="45"/>
      <c r="F19" s="45"/>
      <c r="G19" s="45"/>
      <c r="H19" s="45"/>
      <c r="I19" s="71"/>
      <c r="J19" s="17"/>
      <c r="K19" s="17"/>
      <c r="M19"/>
      <c r="N19"/>
      <c r="O19"/>
      <c r="P19"/>
      <c r="Q19"/>
      <c r="R19"/>
      <c r="S19"/>
      <c r="T19"/>
      <c r="U19"/>
    </row>
    <row r="20" spans="1:12" ht="25.5">
      <c r="A20" s="11" t="s">
        <v>282</v>
      </c>
      <c r="B20" s="6" t="s">
        <v>274</v>
      </c>
      <c r="C20" s="148"/>
      <c r="D20" s="45"/>
      <c r="F20" s="144">
        <f>Infrastructure!H6</f>
        <v>600000</v>
      </c>
      <c r="G20" s="80" t="s">
        <v>201</v>
      </c>
      <c r="H20" s="45"/>
      <c r="I20" s="46">
        <f>F20/N1</f>
        <v>396301.1889035667</v>
      </c>
      <c r="J20" s="17" t="s">
        <v>176</v>
      </c>
      <c r="K20" s="17" t="s">
        <v>176</v>
      </c>
      <c r="L20"/>
    </row>
    <row r="21" spans="1:12" ht="12.75">
      <c r="A21" s="11" t="s">
        <v>276</v>
      </c>
      <c r="B21" s="6"/>
      <c r="C21" s="39">
        <f>Infrastructure!B14</f>
        <v>5</v>
      </c>
      <c r="D21" s="80" t="s">
        <v>204</v>
      </c>
      <c r="E21" s="44" t="s">
        <v>283</v>
      </c>
      <c r="F21" s="144">
        <f>Infrastructure!E14</f>
        <v>2000</v>
      </c>
      <c r="G21" s="80" t="s">
        <v>284</v>
      </c>
      <c r="H21" s="45"/>
      <c r="I21" s="46">
        <f>Infrastructure!H14</f>
        <v>6605.019815059445</v>
      </c>
      <c r="J21" s="17" t="s">
        <v>176</v>
      </c>
      <c r="K21" s="17" t="s">
        <v>176</v>
      </c>
      <c r="L21"/>
    </row>
    <row r="22" spans="1:12" ht="38.25">
      <c r="A22" s="11" t="s">
        <v>285</v>
      </c>
      <c r="B22" s="6" t="s">
        <v>117</v>
      </c>
      <c r="C22" s="75">
        <v>1400</v>
      </c>
      <c r="D22" s="6" t="s">
        <v>118</v>
      </c>
      <c r="E22" s="45">
        <v>12.5</v>
      </c>
      <c r="F22" s="36" t="s">
        <v>119</v>
      </c>
      <c r="G22" s="45">
        <v>5</v>
      </c>
      <c r="H22" s="80" t="s">
        <v>120</v>
      </c>
      <c r="I22" s="46">
        <f>C22*E22*G22</f>
        <v>87500</v>
      </c>
      <c r="J22" s="17"/>
      <c r="K22" s="17"/>
      <c r="L22"/>
    </row>
    <row r="23" spans="1:12" ht="25.5">
      <c r="A23" s="11" t="s">
        <v>292</v>
      </c>
      <c r="B23" s="6" t="s">
        <v>14</v>
      </c>
      <c r="C23" s="83">
        <f>Infrastructure!D24</f>
        <v>40000</v>
      </c>
      <c r="D23" s="45" t="s">
        <v>199</v>
      </c>
      <c r="E23" s="44" t="s">
        <v>89</v>
      </c>
      <c r="F23" s="77"/>
      <c r="G23" s="37"/>
      <c r="H23" s="37"/>
      <c r="I23" s="46">
        <f>Infrastructure!G24</f>
        <v>26420.07926023778</v>
      </c>
      <c r="J23" s="17"/>
      <c r="K23" s="17"/>
      <c r="L23"/>
    </row>
    <row r="24" spans="1:17" ht="12.75">
      <c r="A24" s="12" t="s">
        <v>3</v>
      </c>
      <c r="B24" s="7"/>
      <c r="C24" s="72"/>
      <c r="D24" s="54"/>
      <c r="E24" s="54"/>
      <c r="F24" s="54"/>
      <c r="G24" s="54"/>
      <c r="H24" s="54"/>
      <c r="I24" s="73"/>
      <c r="J24" s="18"/>
      <c r="K24" s="18"/>
      <c r="L24"/>
      <c r="Q24" s="65" t="e">
        <f>P25/#REF!</f>
        <v>#REF!</v>
      </c>
    </row>
    <row r="25" spans="1:17" ht="27.75" customHeight="1">
      <c r="A25" s="165" t="s">
        <v>434</v>
      </c>
      <c r="B25" s="5"/>
      <c r="C25" s="68"/>
      <c r="D25" s="69"/>
      <c r="E25" s="69"/>
      <c r="F25" s="69"/>
      <c r="G25" s="69"/>
      <c r="H25" s="69"/>
      <c r="I25" s="70"/>
      <c r="J25" s="16"/>
      <c r="K25" s="16"/>
      <c r="L25"/>
      <c r="M25" s="60"/>
      <c r="N25" s="61" t="s">
        <v>192</v>
      </c>
      <c r="O25" s="62"/>
      <c r="P25" s="63" t="e">
        <f>I26+I28+I31+#REF!+'Energy costs'!G68</f>
        <v>#REF!</v>
      </c>
      <c r="Q25" s="64" t="e">
        <f>P26/#REF!</f>
        <v>#REF!</v>
      </c>
    </row>
    <row r="26" spans="1:21" ht="25.5">
      <c r="A26" s="11" t="s">
        <v>435</v>
      </c>
      <c r="B26" s="6" t="s">
        <v>436</v>
      </c>
      <c r="C26" s="75">
        <f>'Site costs'!E32</f>
        <v>10000</v>
      </c>
      <c r="D26" s="45" t="s">
        <v>93</v>
      </c>
      <c r="E26" s="74">
        <f>C26/O3</f>
        <v>2.471054072593638</v>
      </c>
      <c r="F26" s="37" t="s">
        <v>94</v>
      </c>
      <c r="G26" s="45">
        <f>'Site costs'!G32</f>
        <v>5625</v>
      </c>
      <c r="H26" s="45" t="s">
        <v>95</v>
      </c>
      <c r="I26" s="49">
        <f>E26*G26</f>
        <v>13899.679158339213</v>
      </c>
      <c r="J26" s="17" t="s">
        <v>177</v>
      </c>
      <c r="K26" s="17" t="s">
        <v>178</v>
      </c>
      <c r="L26"/>
      <c r="M26" s="50"/>
      <c r="N26" s="59" t="s">
        <v>171</v>
      </c>
      <c r="O26" s="51">
        <f>I39</f>
        <v>107365.2575957728</v>
      </c>
      <c r="P26" s="51">
        <f>O26*3</f>
        <v>322095.7727873184</v>
      </c>
      <c r="Q26" s="55"/>
      <c r="R26" s="55"/>
      <c r="S26" s="55"/>
      <c r="T26" s="55"/>
      <c r="U26" s="55"/>
    </row>
    <row r="27" spans="1:21" s="55" customFormat="1" ht="25.5">
      <c r="A27" s="11" t="s">
        <v>420</v>
      </c>
      <c r="B27" s="6" t="s">
        <v>249</v>
      </c>
      <c r="C27" s="39">
        <f>'Site costs'!E34</f>
        <v>300</v>
      </c>
      <c r="D27" s="80" t="s">
        <v>138</v>
      </c>
      <c r="G27" s="45">
        <f>'Site costs'!G34</f>
        <v>300</v>
      </c>
      <c r="H27" s="80" t="s">
        <v>417</v>
      </c>
      <c r="I27" s="46">
        <f>C27*G27</f>
        <v>90000</v>
      </c>
      <c r="J27" s="17"/>
      <c r="K27" s="17"/>
      <c r="Q27"/>
      <c r="R27"/>
      <c r="S27"/>
      <c r="T27"/>
      <c r="U27"/>
    </row>
    <row r="28" spans="1:12" ht="46.5" customHeight="1">
      <c r="A28" s="11" t="s">
        <v>437</v>
      </c>
      <c r="B28" s="6" t="s">
        <v>438</v>
      </c>
      <c r="C28" s="75">
        <f>'Site costs'!E44</f>
        <v>150</v>
      </c>
      <c r="D28" s="81" t="s">
        <v>94</v>
      </c>
      <c r="G28" s="45">
        <f>'Site costs'!G44</f>
        <v>1625</v>
      </c>
      <c r="H28" s="80" t="s">
        <v>31</v>
      </c>
      <c r="I28" s="76">
        <f>C28*G28</f>
        <v>243750</v>
      </c>
      <c r="J28" s="17"/>
      <c r="K28" s="17"/>
      <c r="L28"/>
    </row>
    <row r="29" spans="1:12" ht="12.75">
      <c r="A29" s="12"/>
      <c r="B29" s="15"/>
      <c r="C29" s="54"/>
      <c r="D29" s="54"/>
      <c r="E29" s="54"/>
      <c r="F29" s="54"/>
      <c r="G29" s="54"/>
      <c r="H29" s="54"/>
      <c r="I29" s="73"/>
      <c r="J29" s="18"/>
      <c r="K29" s="18"/>
      <c r="L29"/>
    </row>
    <row r="30" spans="1:12" ht="25.5">
      <c r="A30" s="165" t="s">
        <v>4</v>
      </c>
      <c r="B30" s="13" t="s">
        <v>121</v>
      </c>
      <c r="E30" s="69"/>
      <c r="F30" s="69"/>
      <c r="G30" s="69"/>
      <c r="H30" s="69"/>
      <c r="I30" s="70"/>
      <c r="J30" s="16" t="s">
        <v>176</v>
      </c>
      <c r="K30" s="16" t="s">
        <v>179</v>
      </c>
      <c r="L30"/>
    </row>
    <row r="31" spans="1:12" ht="25.5">
      <c r="A31" s="11" t="s">
        <v>462</v>
      </c>
      <c r="B31" s="14" t="s">
        <v>461</v>
      </c>
      <c r="C31" s="38">
        <f>Connectivity!D13</f>
        <v>5</v>
      </c>
      <c r="D31" s="82" t="s">
        <v>455</v>
      </c>
      <c r="E31" s="38">
        <f>Connectivity!F13</f>
        <v>5</v>
      </c>
      <c r="F31" s="82" t="s">
        <v>197</v>
      </c>
      <c r="G31" s="96">
        <f>Connectivity!I13</f>
        <v>617.7635181484095</v>
      </c>
      <c r="H31" s="82" t="s">
        <v>198</v>
      </c>
      <c r="I31" s="97">
        <f>E31*G31</f>
        <v>3088.8175907420473</v>
      </c>
      <c r="J31" s="17"/>
      <c r="K31" s="17"/>
      <c r="L31"/>
    </row>
    <row r="32" spans="1:12" ht="27.75" customHeight="1">
      <c r="A32" s="11" t="s">
        <v>463</v>
      </c>
      <c r="B32" s="14" t="s">
        <v>464</v>
      </c>
      <c r="C32" s="45">
        <f>Connectivity!D16</f>
        <v>4</v>
      </c>
      <c r="D32" s="80" t="s">
        <v>202</v>
      </c>
      <c r="G32" s="49">
        <f>Connectivity!G16</f>
        <v>5000</v>
      </c>
      <c r="H32" s="80" t="s">
        <v>89</v>
      </c>
      <c r="I32" s="46">
        <f>C32*G32</f>
        <v>20000</v>
      </c>
      <c r="J32" s="17"/>
      <c r="K32" s="17"/>
      <c r="L32"/>
    </row>
    <row r="33" spans="1:12" ht="27.75" customHeight="1">
      <c r="A33" s="11" t="s">
        <v>465</v>
      </c>
      <c r="B33" s="14" t="s">
        <v>124</v>
      </c>
      <c r="C33" s="45">
        <f>Connectivity!D18</f>
        <v>5</v>
      </c>
      <c r="D33" s="80" t="s">
        <v>203</v>
      </c>
      <c r="G33" s="49">
        <f>Connectivity!G18</f>
        <v>1000</v>
      </c>
      <c r="H33" s="80" t="s">
        <v>123</v>
      </c>
      <c r="I33" s="46">
        <f>C33*G33</f>
        <v>5000</v>
      </c>
      <c r="J33" s="17"/>
      <c r="K33" s="17"/>
      <c r="L33"/>
    </row>
    <row r="34" spans="1:12" ht="25.5">
      <c r="A34" s="11" t="s">
        <v>250</v>
      </c>
      <c r="B34" s="14" t="s">
        <v>466</v>
      </c>
      <c r="C34" s="45">
        <f>Connectivity!D20</f>
        <v>5</v>
      </c>
      <c r="D34" s="80" t="s">
        <v>203</v>
      </c>
      <c r="G34" s="77">
        <f>Connectivity!G20</f>
        <v>55000</v>
      </c>
      <c r="H34" s="80" t="s">
        <v>123</v>
      </c>
      <c r="I34" s="46">
        <f>G34*C34</f>
        <v>275000</v>
      </c>
      <c r="J34" s="17"/>
      <c r="K34" s="17"/>
      <c r="L34"/>
    </row>
    <row r="35" spans="1:12" ht="12.75">
      <c r="A35" s="11" t="s">
        <v>467</v>
      </c>
      <c r="B35" s="14" t="s">
        <v>122</v>
      </c>
      <c r="C35" s="45">
        <f>Connectivity!D21</f>
        <v>6</v>
      </c>
      <c r="D35" s="80" t="s">
        <v>204</v>
      </c>
      <c r="G35" s="77">
        <f>Connectivity!G21</f>
        <v>5500</v>
      </c>
      <c r="H35" s="85" t="s">
        <v>89</v>
      </c>
      <c r="I35" s="46">
        <f>G35*C35</f>
        <v>33000</v>
      </c>
      <c r="J35" s="17"/>
      <c r="K35" s="17"/>
      <c r="L35"/>
    </row>
    <row r="36" spans="1:12" ht="12.75">
      <c r="A36" s="12"/>
      <c r="B36" s="15"/>
      <c r="C36" s="54"/>
      <c r="D36" s="54"/>
      <c r="E36" s="54"/>
      <c r="F36" s="54"/>
      <c r="G36" s="54"/>
      <c r="H36" s="54"/>
      <c r="I36" s="73"/>
      <c r="J36" s="18"/>
      <c r="K36" s="18"/>
      <c r="L36"/>
    </row>
    <row r="37" spans="1:12" ht="12.75">
      <c r="A37" s="165" t="s">
        <v>480</v>
      </c>
      <c r="B37" s="13"/>
      <c r="C37" s="69"/>
      <c r="D37" s="69"/>
      <c r="E37" s="69"/>
      <c r="F37" s="69"/>
      <c r="G37" s="69"/>
      <c r="H37" s="69"/>
      <c r="I37" s="70"/>
      <c r="J37" s="16" t="s">
        <v>176</v>
      </c>
      <c r="K37" s="16" t="s">
        <v>177</v>
      </c>
      <c r="L37"/>
    </row>
    <row r="38" spans="1:12" ht="30" customHeight="1">
      <c r="A38" s="11" t="s">
        <v>8</v>
      </c>
      <c r="B38" s="14" t="s">
        <v>413</v>
      </c>
      <c r="C38" s="45">
        <f>'Operating costs'!B11</f>
        <v>4</v>
      </c>
      <c r="D38" s="80" t="s">
        <v>207</v>
      </c>
      <c r="F38" s="43">
        <f>'Operating costs'!B30</f>
        <v>50000</v>
      </c>
      <c r="G38" s="80" t="s">
        <v>206</v>
      </c>
      <c r="H38" s="45"/>
      <c r="I38" s="46">
        <f>C38*F38</f>
        <v>200000</v>
      </c>
      <c r="J38" s="17"/>
      <c r="K38" s="17"/>
      <c r="L38"/>
    </row>
    <row r="39" spans="1:12" ht="36" customHeight="1">
      <c r="A39" s="235" t="s">
        <v>171</v>
      </c>
      <c r="B39" s="14" t="s">
        <v>414</v>
      </c>
      <c r="C39" s="78">
        <f>'Operating costs'!B41</f>
        <v>0.2</v>
      </c>
      <c r="D39" s="268"/>
      <c r="E39" s="268"/>
      <c r="F39" s="234">
        <f>+I20+I21+I22+I23+I32</f>
        <v>536826.2879788639</v>
      </c>
      <c r="G39" s="80" t="s">
        <v>208</v>
      </c>
      <c r="H39" s="234"/>
      <c r="I39" s="46">
        <f>C39*F39</f>
        <v>107365.2575957728</v>
      </c>
      <c r="J39" s="17" t="s">
        <v>176</v>
      </c>
      <c r="K39" s="17" t="s">
        <v>177</v>
      </c>
      <c r="L39"/>
    </row>
    <row r="40" spans="1:12" ht="12.75">
      <c r="A40" s="12"/>
      <c r="B40" s="15"/>
      <c r="C40" s="54"/>
      <c r="D40" s="54"/>
      <c r="E40" s="54"/>
      <c r="F40" s="54"/>
      <c r="G40" s="54"/>
      <c r="H40" s="54"/>
      <c r="I40" s="73"/>
      <c r="J40" s="18"/>
      <c r="K40" s="18"/>
      <c r="L40"/>
    </row>
    <row r="41" spans="1:12" ht="25.5">
      <c r="A41" s="165" t="s">
        <v>481</v>
      </c>
      <c r="B41" s="13" t="s">
        <v>475</v>
      </c>
      <c r="C41" s="45">
        <v>320</v>
      </c>
      <c r="D41" s="80" t="s">
        <v>476</v>
      </c>
      <c r="E41" s="69"/>
      <c r="F41" s="69">
        <f>C41*365*24</f>
        <v>2803200</v>
      </c>
      <c r="G41" s="84" t="s">
        <v>209</v>
      </c>
      <c r="H41" s="69"/>
      <c r="I41" s="70"/>
      <c r="J41" s="16" t="s">
        <v>177</v>
      </c>
      <c r="K41" s="16" t="s">
        <v>177</v>
      </c>
      <c r="L41"/>
    </row>
    <row r="42" spans="1:12" ht="12.75">
      <c r="A42" s="11" t="s">
        <v>469</v>
      </c>
      <c r="B42" s="14"/>
      <c r="E42" s="45"/>
      <c r="F42" s="45"/>
      <c r="G42" s="226">
        <f>'Energy costs'!B45</f>
        <v>13.11461502729602</v>
      </c>
      <c r="H42" s="45" t="s">
        <v>151</v>
      </c>
      <c r="I42" s="46">
        <f>'Energy costs'!B44</f>
        <v>367628.88844516204</v>
      </c>
      <c r="J42" s="17"/>
      <c r="K42" s="17"/>
      <c r="L42"/>
    </row>
    <row r="43" spans="1:12" ht="12.75">
      <c r="A43" s="11" t="s">
        <v>473</v>
      </c>
      <c r="B43" s="14"/>
      <c r="C43" s="45"/>
      <c r="F43" s="45"/>
      <c r="G43" s="226">
        <f>'Energy costs'!C45</f>
        <v>16.31749149322414</v>
      </c>
      <c r="I43" s="46">
        <f>'Energy costs'!C44</f>
        <v>457411.92153805913</v>
      </c>
      <c r="J43" s="17"/>
      <c r="K43" s="17"/>
      <c r="L43"/>
    </row>
    <row r="44" spans="1:12" ht="12.75">
      <c r="A44" s="11" t="s">
        <v>470</v>
      </c>
      <c r="B44" s="14"/>
      <c r="C44" s="45"/>
      <c r="F44" s="45"/>
      <c r="G44" s="226">
        <f>'Energy costs'!D45</f>
        <v>44.59924333818223</v>
      </c>
      <c r="H44" s="45"/>
      <c r="I44" s="46">
        <f>'Energy costs'!D44</f>
        <v>1250205.9892559242</v>
      </c>
      <c r="J44" s="17"/>
      <c r="K44" s="17"/>
      <c r="L44"/>
    </row>
    <row r="45" spans="1:12" ht="12.75">
      <c r="A45" s="11" t="s">
        <v>140</v>
      </c>
      <c r="B45" s="227"/>
      <c r="C45" s="45"/>
      <c r="F45" s="45"/>
      <c r="G45" s="226">
        <f>'Energy costs'!E45</f>
        <v>187.65477077002308</v>
      </c>
      <c r="H45" s="45"/>
      <c r="I45" s="46">
        <f>'Energy costs'!E44</f>
        <v>5260338.534225287</v>
      </c>
      <c r="J45" s="17"/>
      <c r="K45" s="17"/>
      <c r="L45"/>
    </row>
    <row r="46" spans="1:12" ht="12.75">
      <c r="A46" s="11" t="s">
        <v>542</v>
      </c>
      <c r="B46" s="14"/>
      <c r="C46" s="45"/>
      <c r="D46" s="45"/>
      <c r="E46" s="45"/>
      <c r="G46" s="226">
        <f>'Energy costs'!F45</f>
        <v>90.92976641351818</v>
      </c>
      <c r="H46" s="45"/>
      <c r="I46" s="46">
        <f>'Energy costs'!F44</f>
        <v>2548943.2121037417</v>
      </c>
      <c r="J46" s="17"/>
      <c r="K46" s="17"/>
      <c r="L46"/>
    </row>
    <row r="47" spans="1:12" ht="12.75">
      <c r="A47" s="11" t="s">
        <v>141</v>
      </c>
      <c r="B47" s="227"/>
      <c r="C47" s="45"/>
      <c r="F47" s="45"/>
      <c r="G47" s="226">
        <f>'Energy costs'!G45</f>
        <v>13.727524842608313</v>
      </c>
      <c r="H47" s="45"/>
      <c r="I47" s="46">
        <f>'Energy costs'!G44</f>
        <v>384809.9763879962</v>
      </c>
      <c r="J47" s="17"/>
      <c r="K47" s="17"/>
      <c r="L47"/>
    </row>
    <row r="48" spans="1:12" ht="12.75">
      <c r="A48" s="11" t="s">
        <v>474</v>
      </c>
      <c r="B48" s="227"/>
      <c r="C48" s="45"/>
      <c r="F48" s="45"/>
      <c r="G48" s="226">
        <f>'Energy costs'!H45</f>
        <v>273.35410250776283</v>
      </c>
      <c r="H48" s="45"/>
      <c r="I48" s="46">
        <f>'Energy costs'!H44</f>
        <v>7662662.201497607</v>
      </c>
      <c r="J48" s="17"/>
      <c r="K48" s="17"/>
      <c r="L48"/>
    </row>
    <row r="49" spans="1:12" ht="12.75">
      <c r="A49" s="12"/>
      <c r="B49" s="228"/>
      <c r="C49" s="54"/>
      <c r="D49" s="54"/>
      <c r="E49" s="54"/>
      <c r="F49" s="54"/>
      <c r="G49" s="54"/>
      <c r="H49" s="54"/>
      <c r="I49" s="73"/>
      <c r="J49" s="18"/>
      <c r="K49" s="18"/>
      <c r="L49"/>
    </row>
    <row r="50" spans="1:12" ht="12.75">
      <c r="A50" s="166" t="s">
        <v>477</v>
      </c>
      <c r="B50" s="14"/>
      <c r="C50" s="45"/>
      <c r="D50" s="45"/>
      <c r="E50" s="45"/>
      <c r="F50" s="45"/>
      <c r="G50" s="45"/>
      <c r="H50" s="45"/>
      <c r="I50" s="71"/>
      <c r="J50" s="17"/>
      <c r="K50" s="17"/>
      <c r="L50"/>
    </row>
    <row r="51" spans="1:12" ht="12.75">
      <c r="A51" s="11" t="s">
        <v>469</v>
      </c>
      <c r="B51" s="14" t="s">
        <v>478</v>
      </c>
      <c r="C51" s="45"/>
      <c r="D51" s="45"/>
      <c r="E51" s="45"/>
      <c r="F51" s="45"/>
      <c r="G51" s="226">
        <f>'Energy costs'!B52</f>
        <v>11</v>
      </c>
      <c r="H51" s="80" t="s">
        <v>151</v>
      </c>
      <c r="I51" s="46">
        <f>'Energy costs'!B51</f>
        <v>308352</v>
      </c>
      <c r="J51" s="17"/>
      <c r="K51" s="17"/>
      <c r="L51"/>
    </row>
    <row r="52" spans="1:12" ht="12.75">
      <c r="A52" s="11" t="s">
        <v>473</v>
      </c>
      <c r="B52" s="14"/>
      <c r="C52" s="45"/>
      <c r="D52" s="45"/>
      <c r="E52" s="45"/>
      <c r="G52" s="226">
        <f>'Energy costs'!C52</f>
        <v>0</v>
      </c>
      <c r="I52" s="46">
        <f>'Energy costs'!C51</f>
        <v>0</v>
      </c>
      <c r="J52" s="17"/>
      <c r="K52" s="17"/>
      <c r="L52"/>
    </row>
    <row r="53" spans="1:12" ht="12.75">
      <c r="A53" s="11" t="s">
        <v>470</v>
      </c>
      <c r="B53" s="14"/>
      <c r="C53" s="45"/>
      <c r="D53" s="45"/>
      <c r="E53" s="45"/>
      <c r="G53" s="226">
        <f>'Energy costs'!D52</f>
        <v>4.408234451996194</v>
      </c>
      <c r="H53" s="45"/>
      <c r="I53" s="46">
        <f>'Energy costs'!D51</f>
        <v>123571.62815835729</v>
      </c>
      <c r="J53" s="17"/>
      <c r="K53" s="17"/>
      <c r="L53"/>
    </row>
    <row r="54" spans="1:12" ht="12.75">
      <c r="A54" s="11" t="s">
        <v>140</v>
      </c>
      <c r="B54" s="14"/>
      <c r="C54" s="45"/>
      <c r="D54" s="45"/>
      <c r="E54" s="45"/>
      <c r="G54" s="226">
        <f>'Energy costs'!E52</f>
        <v>4.5</v>
      </c>
      <c r="H54" s="45"/>
      <c r="I54" s="46">
        <f>'Energy costs'!E51</f>
        <v>126144</v>
      </c>
      <c r="J54" s="17"/>
      <c r="K54" s="17"/>
      <c r="L54"/>
    </row>
    <row r="55" spans="1:12" ht="12.75">
      <c r="A55" s="11" t="s">
        <v>542</v>
      </c>
      <c r="B55" s="14"/>
      <c r="C55" s="45"/>
      <c r="D55" s="45"/>
      <c r="E55" s="45"/>
      <c r="G55" s="226">
        <f>'Energy costs'!F52</f>
        <v>4.5</v>
      </c>
      <c r="H55" s="45"/>
      <c r="I55" s="46">
        <f>'Energy costs'!F51</f>
        <v>126144</v>
      </c>
      <c r="J55" s="17"/>
      <c r="K55" s="17"/>
      <c r="L55"/>
    </row>
    <row r="56" spans="1:12" ht="12.75">
      <c r="A56" s="11" t="s">
        <v>141</v>
      </c>
      <c r="B56" s="14"/>
      <c r="C56" s="45"/>
      <c r="D56" s="45"/>
      <c r="E56" s="45"/>
      <c r="G56" s="226">
        <f>'Energy costs'!G52</f>
        <v>10.140993150684931</v>
      </c>
      <c r="H56" s="45"/>
      <c r="I56" s="46">
        <f>'Energy costs'!G51</f>
        <v>284272.32</v>
      </c>
      <c r="J56" s="17"/>
      <c r="K56" s="17"/>
      <c r="L56"/>
    </row>
    <row r="57" spans="1:12" ht="12.75">
      <c r="A57" s="11" t="s">
        <v>474</v>
      </c>
      <c r="B57" s="14"/>
      <c r="C57" s="45"/>
      <c r="D57" s="45"/>
      <c r="E57" s="45"/>
      <c r="G57" s="226">
        <f>'Energy costs'!H52</f>
        <v>0</v>
      </c>
      <c r="H57" s="45"/>
      <c r="I57" s="46">
        <f>'Energy costs'!H51</f>
        <v>0</v>
      </c>
      <c r="J57" s="17"/>
      <c r="K57" s="17"/>
      <c r="L57"/>
    </row>
    <row r="58" spans="1:12" ht="12.75">
      <c r="A58" s="12"/>
      <c r="B58" s="15"/>
      <c r="C58" s="54"/>
      <c r="D58" s="54"/>
      <c r="E58" s="54"/>
      <c r="F58" s="54"/>
      <c r="G58" s="54"/>
      <c r="H58" s="54"/>
      <c r="I58" s="73"/>
      <c r="J58" s="18"/>
      <c r="K58" s="18"/>
      <c r="L58"/>
    </row>
    <row r="59" ht="12.75">
      <c r="L59"/>
    </row>
    <row r="60" ht="12.75">
      <c r="L60"/>
    </row>
  </sheetData>
  <mergeCells count="1">
    <mergeCell ref="D39:E39"/>
  </mergeCells>
  <printOptions/>
  <pageMargins left="0.29" right="0.26" top="0.6" bottom="0.77" header="0.39" footer="0.5118110236220472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8">
      <selection activeCell="D41" sqref="D41:D43"/>
    </sheetView>
  </sheetViews>
  <sheetFormatPr defaultColWidth="9.140625" defaultRowHeight="12.75"/>
  <cols>
    <col min="1" max="1" width="13.00390625" style="0" customWidth="1"/>
    <col min="2" max="2" width="12.28125" style="0" bestFit="1" customWidth="1"/>
  </cols>
  <sheetData>
    <row r="1" ht="18">
      <c r="A1" s="101" t="s">
        <v>406</v>
      </c>
    </row>
    <row r="3" ht="12.75">
      <c r="A3" s="21" t="s">
        <v>398</v>
      </c>
    </row>
    <row r="5" ht="12.75">
      <c r="A5" t="s">
        <v>582</v>
      </c>
    </row>
    <row r="6" ht="12.75">
      <c r="D6" t="s">
        <v>583</v>
      </c>
    </row>
    <row r="8" spans="1:3" ht="12.75">
      <c r="A8" t="s">
        <v>401</v>
      </c>
      <c r="B8" s="149">
        <v>2</v>
      </c>
      <c r="C8" t="s">
        <v>399</v>
      </c>
    </row>
    <row r="9" spans="2:3" ht="12.75">
      <c r="B9" s="149">
        <v>2</v>
      </c>
      <c r="C9" t="s">
        <v>400</v>
      </c>
    </row>
    <row r="10" spans="2:3" ht="12.75">
      <c r="B10" s="149">
        <v>0</v>
      </c>
      <c r="C10" t="s">
        <v>402</v>
      </c>
    </row>
    <row r="11" spans="2:3" ht="12.75">
      <c r="B11">
        <f>SUM(B8:B10)</f>
        <v>4</v>
      </c>
      <c r="C11" t="s">
        <v>403</v>
      </c>
    </row>
    <row r="13" ht="12.75">
      <c r="A13" s="21" t="s">
        <v>404</v>
      </c>
    </row>
    <row r="15" spans="1:4" ht="12.75">
      <c r="A15" t="s">
        <v>405</v>
      </c>
      <c r="B15" t="s">
        <v>143</v>
      </c>
      <c r="C15" t="s">
        <v>144</v>
      </c>
      <c r="D15" t="s">
        <v>145</v>
      </c>
    </row>
    <row r="16" spans="1:4" ht="12.75">
      <c r="A16" t="s">
        <v>146</v>
      </c>
      <c r="B16">
        <v>7</v>
      </c>
      <c r="C16">
        <v>14</v>
      </c>
      <c r="D16">
        <v>15</v>
      </c>
    </row>
    <row r="17" spans="1:5" ht="12.75">
      <c r="A17" t="s">
        <v>27</v>
      </c>
      <c r="B17">
        <v>370101</v>
      </c>
      <c r="C17">
        <v>701270</v>
      </c>
      <c r="D17">
        <v>740483</v>
      </c>
      <c r="E17" t="s">
        <v>27</v>
      </c>
    </row>
    <row r="19" spans="1:6" ht="12.75">
      <c r="A19" t="s">
        <v>147</v>
      </c>
      <c r="B19" s="47">
        <f>B17/B16</f>
        <v>52871.57142857143</v>
      </c>
      <c r="C19" s="47">
        <f>C17/C16</f>
        <v>50090.71428571428</v>
      </c>
      <c r="D19" s="47">
        <f>D17/D16</f>
        <v>49365.53333333333</v>
      </c>
      <c r="E19" t="s">
        <v>27</v>
      </c>
      <c r="F19" t="s">
        <v>148</v>
      </c>
    </row>
    <row r="20" spans="2:4" ht="12.75">
      <c r="B20" s="210">
        <f>B19/'Summary Data Centre'!N2</f>
        <v>47709.41294763709</v>
      </c>
      <c r="C20" s="210">
        <f>C19/'Summary Data Centre'!N2</f>
        <v>45200.067032768704</v>
      </c>
      <c r="D20" s="210">
        <f>D19/'Summary Data Centre'!N2</f>
        <v>44545.68970703242</v>
      </c>
    </row>
    <row r="22" ht="12.75">
      <c r="A22" t="s">
        <v>150</v>
      </c>
    </row>
    <row r="23" ht="12.75">
      <c r="B23" s="20">
        <v>0.03</v>
      </c>
    </row>
    <row r="24" spans="1:2" ht="12.75">
      <c r="A24" t="s">
        <v>149</v>
      </c>
      <c r="B24">
        <v>45000</v>
      </c>
    </row>
    <row r="25" spans="1:2" ht="12.75">
      <c r="A25">
        <v>2007</v>
      </c>
      <c r="B25" s="48">
        <f>B24*(1+$B$23)</f>
        <v>46350</v>
      </c>
    </row>
    <row r="26" spans="1:2" ht="12.75">
      <c r="A26">
        <v>2008</v>
      </c>
      <c r="B26" s="48">
        <f>B25*(1+$B$23)</f>
        <v>47740.5</v>
      </c>
    </row>
    <row r="27" spans="1:2" ht="12.75">
      <c r="A27">
        <v>2009</v>
      </c>
      <c r="B27" s="48">
        <f>B26*(1+$B$23)</f>
        <v>49172.715000000004</v>
      </c>
    </row>
    <row r="28" spans="1:2" ht="12.75">
      <c r="A28">
        <v>2010</v>
      </c>
      <c r="B28" s="48">
        <f>B27*(1+$B$23)</f>
        <v>50647.89645000001</v>
      </c>
    </row>
    <row r="30" spans="1:3" ht="12.75">
      <c r="A30" t="s">
        <v>291</v>
      </c>
      <c r="B30" s="163">
        <v>50000</v>
      </c>
      <c r="C30" t="s">
        <v>395</v>
      </c>
    </row>
    <row r="32" ht="12.75">
      <c r="A32" t="s">
        <v>396</v>
      </c>
    </row>
    <row r="33" ht="12.75">
      <c r="A33" t="s">
        <v>397</v>
      </c>
    </row>
    <row r="36" ht="12.75">
      <c r="A36" s="21" t="s">
        <v>407</v>
      </c>
    </row>
    <row r="38" ht="12.75">
      <c r="A38" t="s">
        <v>408</v>
      </c>
    </row>
    <row r="39" ht="12.75">
      <c r="B39" t="s">
        <v>585</v>
      </c>
    </row>
    <row r="41" spans="1:4" ht="12.75">
      <c r="A41" t="s">
        <v>291</v>
      </c>
      <c r="B41" s="182">
        <v>0.2</v>
      </c>
      <c r="C41" t="s">
        <v>409</v>
      </c>
      <c r="D41" t="s">
        <v>410</v>
      </c>
    </row>
    <row r="42" ht="12.75">
      <c r="D42" t="s">
        <v>411</v>
      </c>
    </row>
    <row r="43" ht="12.75">
      <c r="D43" t="s">
        <v>412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20" sqref="A20"/>
    </sheetView>
  </sheetViews>
  <sheetFormatPr defaultColWidth="9.140625" defaultRowHeight="12.75"/>
  <cols>
    <col min="1" max="1" width="24.8515625" style="0" customWidth="1"/>
    <col min="2" max="2" width="36.7109375" style="0" customWidth="1"/>
    <col min="10" max="10" width="10.140625" style="0" bestFit="1" customWidth="1"/>
  </cols>
  <sheetData>
    <row r="1" ht="18">
      <c r="A1" s="101" t="s">
        <v>443</v>
      </c>
    </row>
    <row r="2" spans="1:4" ht="12.75">
      <c r="A2" s="214" t="s">
        <v>4</v>
      </c>
      <c r="C2" s="58" t="s">
        <v>238</v>
      </c>
      <c r="D2" s="80" t="s">
        <v>447</v>
      </c>
    </row>
    <row r="3" spans="3:4" s="2" customFormat="1" ht="12.75">
      <c r="C3" s="58" t="s">
        <v>444</v>
      </c>
      <c r="D3" s="80" t="s">
        <v>90</v>
      </c>
    </row>
    <row r="4" spans="3:4" s="2" customFormat="1" ht="12.75">
      <c r="C4" s="58" t="s">
        <v>448</v>
      </c>
      <c r="D4" s="2" t="s">
        <v>449</v>
      </c>
    </row>
    <row r="5" s="2" customFormat="1" ht="12.75"/>
    <row r="6" spans="1:10" s="2" customFormat="1" ht="12.75">
      <c r="A6" s="2" t="s">
        <v>445</v>
      </c>
      <c r="B6" s="6"/>
      <c r="D6" s="45"/>
      <c r="E6" s="45"/>
      <c r="F6" s="45"/>
      <c r="G6" s="45"/>
      <c r="H6" s="45"/>
      <c r="I6" s="45"/>
      <c r="J6" s="45"/>
    </row>
    <row r="7" spans="1:10" s="2" customFormat="1" ht="12.75">
      <c r="A7" s="117" t="s">
        <v>446</v>
      </c>
      <c r="B7" s="6"/>
      <c r="D7" s="45"/>
      <c r="E7" s="45"/>
      <c r="F7" s="45"/>
      <c r="G7" s="45"/>
      <c r="H7" s="45"/>
      <c r="I7" s="45"/>
      <c r="J7" s="45"/>
    </row>
    <row r="8" spans="1:10" s="2" customFormat="1" ht="12.75">
      <c r="A8" s="2" t="s">
        <v>450</v>
      </c>
      <c r="B8" s="6"/>
      <c r="D8" s="45"/>
      <c r="E8" s="45"/>
      <c r="F8" s="45"/>
      <c r="G8" s="45"/>
      <c r="H8" s="45"/>
      <c r="I8" s="45"/>
      <c r="J8" s="45"/>
    </row>
    <row r="9" spans="2:10" s="2" customFormat="1" ht="12.75">
      <c r="B9" s="6"/>
      <c r="D9" s="45"/>
      <c r="E9" s="45"/>
      <c r="F9" s="45"/>
      <c r="G9" s="45"/>
      <c r="H9" s="45"/>
      <c r="I9" s="45"/>
      <c r="J9" s="45"/>
    </row>
    <row r="10" spans="1:10" s="2" customFormat="1" ht="25.5">
      <c r="A10" s="223" t="s">
        <v>451</v>
      </c>
      <c r="B10" s="136" t="s">
        <v>457</v>
      </c>
      <c r="C10" s="145"/>
      <c r="D10" s="215"/>
      <c r="E10" s="216"/>
      <c r="F10" s="217"/>
      <c r="G10" s="218"/>
      <c r="H10" s="45"/>
      <c r="I10" s="45"/>
      <c r="J10" s="45"/>
    </row>
    <row r="11" spans="1:10" s="2" customFormat="1" ht="12.75">
      <c r="A11" s="238" t="s">
        <v>493</v>
      </c>
      <c r="B11" s="136" t="s">
        <v>494</v>
      </c>
      <c r="C11" s="145" t="s">
        <v>453</v>
      </c>
      <c r="D11" s="215">
        <v>2</v>
      </c>
      <c r="E11" s="216" t="s">
        <v>455</v>
      </c>
      <c r="F11" s="217">
        <f>1*D11</f>
        <v>2</v>
      </c>
      <c r="G11" s="218" t="s">
        <v>197</v>
      </c>
      <c r="H11" s="45"/>
      <c r="I11" s="45"/>
      <c r="J11" s="45"/>
    </row>
    <row r="12" spans="1:10" s="2" customFormat="1" ht="12.75">
      <c r="A12" s="104"/>
      <c r="B12" s="136"/>
      <c r="C12" s="136" t="s">
        <v>454</v>
      </c>
      <c r="D12" s="139">
        <v>3</v>
      </c>
      <c r="E12" s="216" t="s">
        <v>455</v>
      </c>
      <c r="F12" s="219">
        <f>1*D12</f>
        <v>3</v>
      </c>
      <c r="G12" s="218" t="s">
        <v>197</v>
      </c>
      <c r="H12" s="45"/>
      <c r="I12" s="45"/>
      <c r="J12" s="45"/>
    </row>
    <row r="13" spans="1:10" s="2" customFormat="1" ht="12.75">
      <c r="A13" s="104"/>
      <c r="B13" s="220" t="s">
        <v>299</v>
      </c>
      <c r="C13" s="220"/>
      <c r="D13" s="219">
        <f>D11+D12</f>
        <v>5</v>
      </c>
      <c r="E13" s="221" t="s">
        <v>455</v>
      </c>
      <c r="F13" s="219">
        <f>F11+F12</f>
        <v>5</v>
      </c>
      <c r="G13" s="218" t="s">
        <v>197</v>
      </c>
      <c r="H13" s="222" t="s">
        <v>456</v>
      </c>
      <c r="I13" s="153">
        <f>'Summary Data Centre'!E26*1000/4</f>
        <v>617.7635181484095</v>
      </c>
      <c r="J13" s="222" t="s">
        <v>94</v>
      </c>
    </row>
    <row r="14" spans="1:10" s="2" customFormat="1" ht="12.75">
      <c r="A14" s="104"/>
      <c r="B14" s="6"/>
      <c r="C14" s="6"/>
      <c r="D14" s="45"/>
      <c r="E14" s="80"/>
      <c r="F14" s="45"/>
      <c r="G14" s="80"/>
      <c r="H14" s="49"/>
      <c r="I14" s="80"/>
      <c r="J14" s="49"/>
    </row>
    <row r="15" spans="1:10" s="2" customFormat="1" ht="12.75">
      <c r="A15" s="213"/>
      <c r="B15" s="6"/>
      <c r="C15" s="6"/>
      <c r="D15" s="45"/>
      <c r="E15" s="80"/>
      <c r="F15" s="45"/>
      <c r="G15" s="56"/>
      <c r="H15" s="45"/>
      <c r="I15" s="57"/>
      <c r="J15" s="57"/>
    </row>
    <row r="16" spans="1:10" s="2" customFormat="1" ht="27.75" customHeight="1">
      <c r="A16" s="214" t="s">
        <v>452</v>
      </c>
      <c r="B16" s="136" t="s">
        <v>125</v>
      </c>
      <c r="C16" s="136"/>
      <c r="D16" s="139">
        <v>4</v>
      </c>
      <c r="E16" s="134" t="s">
        <v>202</v>
      </c>
      <c r="F16" s="139"/>
      <c r="G16" s="135">
        <v>5000</v>
      </c>
      <c r="H16" s="134" t="s">
        <v>89</v>
      </c>
      <c r="I16" s="219" t="s">
        <v>456</v>
      </c>
      <c r="J16" s="222">
        <f>D16*G16</f>
        <v>20000</v>
      </c>
    </row>
    <row r="17" spans="1:10" s="2" customFormat="1" ht="27.75" customHeight="1">
      <c r="A17" s="214"/>
      <c r="B17" s="136"/>
      <c r="C17" s="136"/>
      <c r="D17" s="139"/>
      <c r="E17" s="134"/>
      <c r="F17" s="139"/>
      <c r="G17" s="135"/>
      <c r="H17" s="134"/>
      <c r="I17" s="219"/>
      <c r="J17" s="222"/>
    </row>
    <row r="18" spans="1:10" s="2" customFormat="1" ht="27.75" customHeight="1">
      <c r="A18" s="214" t="s">
        <v>458</v>
      </c>
      <c r="B18" s="136" t="s">
        <v>124</v>
      </c>
      <c r="C18" s="136"/>
      <c r="D18" s="219">
        <f>D13</f>
        <v>5</v>
      </c>
      <c r="E18" s="221" t="s">
        <v>203</v>
      </c>
      <c r="F18" s="219"/>
      <c r="G18" s="135">
        <v>1000</v>
      </c>
      <c r="H18" s="134" t="s">
        <v>123</v>
      </c>
      <c r="I18" s="219"/>
      <c r="J18" s="222">
        <f>D18*G18</f>
        <v>5000</v>
      </c>
    </row>
    <row r="19" spans="1:10" s="2" customFormat="1" ht="27.75" customHeight="1">
      <c r="A19" s="214"/>
      <c r="B19" s="136"/>
      <c r="C19" s="136"/>
      <c r="D19" s="219"/>
      <c r="E19" s="221"/>
      <c r="F19" s="219"/>
      <c r="G19" s="135"/>
      <c r="H19" s="134"/>
      <c r="I19" s="219"/>
      <c r="J19" s="222"/>
    </row>
    <row r="20" spans="1:10" s="2" customFormat="1" ht="25.5">
      <c r="A20" s="214" t="s">
        <v>459</v>
      </c>
      <c r="B20" s="136" t="s">
        <v>195</v>
      </c>
      <c r="C20" s="145"/>
      <c r="D20" s="219">
        <f>D18</f>
        <v>5</v>
      </c>
      <c r="E20" s="221" t="s">
        <v>203</v>
      </c>
      <c r="F20" s="219"/>
      <c r="G20" s="224">
        <v>55000</v>
      </c>
      <c r="H20" s="134" t="s">
        <v>123</v>
      </c>
      <c r="I20" s="219"/>
      <c r="J20" s="222">
        <f>D20*G20</f>
        <v>275000</v>
      </c>
    </row>
    <row r="21" spans="1:10" s="2" customFormat="1" ht="25.5">
      <c r="A21" s="214" t="s">
        <v>468</v>
      </c>
      <c r="B21" s="136" t="s">
        <v>460</v>
      </c>
      <c r="C21" s="136"/>
      <c r="D21" s="139">
        <v>6</v>
      </c>
      <c r="E21" s="134" t="s">
        <v>204</v>
      </c>
      <c r="F21" s="139"/>
      <c r="G21" s="225">
        <f>G20*10/100</f>
        <v>5500</v>
      </c>
      <c r="H21" s="221" t="s">
        <v>126</v>
      </c>
      <c r="I21" s="219"/>
      <c r="J21" s="222">
        <f>G21*D21</f>
        <v>33000</v>
      </c>
    </row>
    <row r="22" spans="1:10" s="2" customFormat="1" ht="12.75">
      <c r="A22" s="104"/>
      <c r="B22" s="6"/>
      <c r="C22" s="6"/>
      <c r="D22" s="45"/>
      <c r="E22" s="45"/>
      <c r="F22" s="45"/>
      <c r="G22" s="45"/>
      <c r="H22" s="45"/>
      <c r="I22" s="45"/>
      <c r="J22" s="45"/>
    </row>
    <row r="23" s="2" customFormat="1" ht="12.75"/>
    <row r="24" spans="11:14" ht="12.75">
      <c r="K24" s="2"/>
      <c r="L24" s="2"/>
      <c r="M24" s="2"/>
      <c r="N24" s="2"/>
    </row>
    <row r="25" spans="1:3" ht="12.75">
      <c r="A25" t="s">
        <v>550</v>
      </c>
      <c r="C25" t="s">
        <v>556</v>
      </c>
    </row>
    <row r="26" spans="1:2" ht="12.75">
      <c r="A26" s="45" t="s">
        <v>516</v>
      </c>
      <c r="B26" t="s">
        <v>554</v>
      </c>
    </row>
    <row r="27" spans="1:3" ht="12.75">
      <c r="A27" s="45" t="s">
        <v>485</v>
      </c>
      <c r="B27" t="s">
        <v>551</v>
      </c>
      <c r="C27" t="s">
        <v>555</v>
      </c>
    </row>
    <row r="28" spans="1:3" ht="12.75">
      <c r="A28" s="45" t="s">
        <v>471</v>
      </c>
      <c r="B28" t="s">
        <v>552</v>
      </c>
      <c r="C28" t="s">
        <v>558</v>
      </c>
    </row>
    <row r="29" spans="1:3" ht="12.75">
      <c r="A29" s="45" t="s">
        <v>517</v>
      </c>
      <c r="B29" t="s">
        <v>551</v>
      </c>
      <c r="C29" t="s">
        <v>555</v>
      </c>
    </row>
    <row r="30" spans="1:3" ht="12.75">
      <c r="A30" s="45" t="s">
        <v>549</v>
      </c>
      <c r="B30" t="s">
        <v>551</v>
      </c>
      <c r="C30" t="s">
        <v>555</v>
      </c>
    </row>
    <row r="31" spans="1:3" ht="12.75">
      <c r="A31" s="45" t="s">
        <v>489</v>
      </c>
      <c r="B31" t="s">
        <v>551</v>
      </c>
      <c r="C31" t="s">
        <v>555</v>
      </c>
    </row>
    <row r="32" spans="1:3" ht="12.75">
      <c r="A32" s="45" t="s">
        <v>212</v>
      </c>
      <c r="B32" t="s">
        <v>553</v>
      </c>
      <c r="C32" t="s">
        <v>557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8">
      <selection activeCell="E34" sqref="E34"/>
    </sheetView>
  </sheetViews>
  <sheetFormatPr defaultColWidth="9.140625" defaultRowHeight="12.75"/>
  <cols>
    <col min="1" max="1" width="7.00390625" style="0" customWidth="1"/>
  </cols>
  <sheetData>
    <row r="1" ht="18">
      <c r="A1" s="101" t="s">
        <v>293</v>
      </c>
    </row>
    <row r="3" spans="12:13" ht="12.75">
      <c r="L3" t="s">
        <v>297</v>
      </c>
      <c r="M3" t="s">
        <v>422</v>
      </c>
    </row>
    <row r="4" spans="1:13" ht="12.75">
      <c r="A4" s="149" t="s">
        <v>294</v>
      </c>
      <c r="B4" s="149" t="s">
        <v>427</v>
      </c>
      <c r="C4" s="149"/>
      <c r="D4" s="149">
        <v>2.4</v>
      </c>
      <c r="E4" s="149" t="s">
        <v>96</v>
      </c>
      <c r="F4" s="149"/>
      <c r="G4" s="151"/>
      <c r="H4" s="151"/>
      <c r="I4" s="151"/>
      <c r="J4" s="151"/>
      <c r="M4" s="80" t="s">
        <v>424</v>
      </c>
    </row>
    <row r="5" spans="1:13" ht="12.75">
      <c r="A5" s="149"/>
      <c r="B5" s="149"/>
      <c r="C5" s="149"/>
      <c r="D5" s="149">
        <v>6.1</v>
      </c>
      <c r="E5" s="149" t="s">
        <v>97</v>
      </c>
      <c r="F5" s="149"/>
      <c r="G5" s="151">
        <f>D4*D5</f>
        <v>14.639999999999999</v>
      </c>
      <c r="H5" s="151"/>
      <c r="I5" s="151">
        <v>15</v>
      </c>
      <c r="J5" s="151" t="s">
        <v>31</v>
      </c>
      <c r="M5" t="s">
        <v>425</v>
      </c>
    </row>
    <row r="6" spans="6:13" ht="12.75">
      <c r="F6" s="149"/>
      <c r="G6" s="151"/>
      <c r="H6" s="151"/>
      <c r="I6" s="151"/>
      <c r="J6" s="151"/>
      <c r="M6" t="s">
        <v>426</v>
      </c>
    </row>
    <row r="7" spans="1:13" ht="12.75">
      <c r="A7" s="149" t="s">
        <v>295</v>
      </c>
      <c r="B7" s="149" t="s">
        <v>98</v>
      </c>
      <c r="C7" s="149"/>
      <c r="D7" s="149"/>
      <c r="E7" s="149"/>
      <c r="F7" s="149"/>
      <c r="G7" s="151"/>
      <c r="H7" s="151"/>
      <c r="I7" s="151">
        <f>I5</f>
        <v>15</v>
      </c>
      <c r="J7" s="151" t="s">
        <v>31</v>
      </c>
      <c r="M7" t="s">
        <v>431</v>
      </c>
    </row>
    <row r="9" spans="1:19" ht="12.75">
      <c r="A9" s="155" t="s">
        <v>296</v>
      </c>
      <c r="B9" s="155" t="s">
        <v>442</v>
      </c>
      <c r="C9" s="155"/>
      <c r="D9" s="149"/>
      <c r="E9" s="149"/>
      <c r="F9" s="149"/>
      <c r="G9" s="149"/>
      <c r="H9" s="149"/>
      <c r="J9" s="149"/>
      <c r="L9" s="157" t="s">
        <v>116</v>
      </c>
      <c r="M9" s="158"/>
      <c r="N9" s="158"/>
      <c r="O9" s="158"/>
      <c r="P9" s="158"/>
      <c r="Q9" s="158"/>
      <c r="R9" s="158"/>
      <c r="S9" s="1"/>
    </row>
    <row r="10" spans="1:19" ht="12.75">
      <c r="A10" s="155"/>
      <c r="B10" s="212" t="s">
        <v>441</v>
      </c>
      <c r="C10" s="155"/>
      <c r="D10" s="149"/>
      <c r="E10" s="149"/>
      <c r="F10" s="149"/>
      <c r="G10" s="149"/>
      <c r="H10" s="149"/>
      <c r="I10" s="149"/>
      <c r="J10" s="149"/>
      <c r="L10" s="159" t="s">
        <v>102</v>
      </c>
      <c r="M10" s="2"/>
      <c r="N10" s="2"/>
      <c r="O10" s="160">
        <f>7.2/1.2</f>
        <v>6</v>
      </c>
      <c r="P10" s="2" t="s">
        <v>103</v>
      </c>
      <c r="Q10" s="2" t="s">
        <v>109</v>
      </c>
      <c r="R10" s="2"/>
      <c r="S10" s="3"/>
    </row>
    <row r="11" spans="1:19" ht="12.75">
      <c r="A11" s="149"/>
      <c r="B11" s="149" t="s">
        <v>428</v>
      </c>
      <c r="C11" s="149"/>
      <c r="D11" s="149"/>
      <c r="E11" s="149">
        <f>12.5</f>
        <v>12.5</v>
      </c>
      <c r="F11" s="149">
        <f>'Operating costs'!B11</f>
        <v>4</v>
      </c>
      <c r="G11" s="149" t="s">
        <v>115</v>
      </c>
      <c r="H11" s="151"/>
      <c r="I11" s="151">
        <f>E11*F11</f>
        <v>50</v>
      </c>
      <c r="J11" s="151" t="s">
        <v>31</v>
      </c>
      <c r="L11" s="159"/>
      <c r="M11" s="2"/>
      <c r="N11" s="2"/>
      <c r="O11" s="2"/>
      <c r="P11" s="2"/>
      <c r="Q11" s="2"/>
      <c r="R11" s="2"/>
      <c r="S11" s="3"/>
    </row>
    <row r="12" spans="1:19" ht="12.75">
      <c r="A12" s="149"/>
      <c r="B12" s="149"/>
      <c r="C12" s="149"/>
      <c r="D12" s="149"/>
      <c r="E12" s="149"/>
      <c r="F12" s="149"/>
      <c r="G12" s="149"/>
      <c r="H12" s="149"/>
      <c r="I12" s="149" t="s">
        <v>242</v>
      </c>
      <c r="J12" s="149"/>
      <c r="L12" s="159" t="s">
        <v>104</v>
      </c>
      <c r="M12" s="2"/>
      <c r="N12" s="2">
        <f>0.9*O10</f>
        <v>5.4</v>
      </c>
      <c r="O12" s="2">
        <f>1.9*O10</f>
        <v>11.399999999999999</v>
      </c>
      <c r="P12" s="2">
        <f>N12*O12</f>
        <v>61.559999999999995</v>
      </c>
      <c r="Q12" s="2"/>
      <c r="R12" s="2"/>
      <c r="S12" s="3"/>
    </row>
    <row r="13" spans="1:19" ht="12.75">
      <c r="A13" s="149"/>
      <c r="B13" s="149" t="s">
        <v>423</v>
      </c>
      <c r="C13" s="149"/>
      <c r="D13" s="149"/>
      <c r="E13" s="149"/>
      <c r="F13" s="163">
        <v>1400</v>
      </c>
      <c r="G13" s="149"/>
      <c r="H13" s="151" t="s">
        <v>299</v>
      </c>
      <c r="I13" s="153">
        <f>F13*I11</f>
        <v>70000</v>
      </c>
      <c r="J13" s="151"/>
      <c r="L13" s="159" t="s">
        <v>105</v>
      </c>
      <c r="M13" s="2"/>
      <c r="N13" s="2">
        <f>1.2*O10</f>
        <v>7.199999999999999</v>
      </c>
      <c r="O13" s="160">
        <f>1*O10</f>
        <v>6</v>
      </c>
      <c r="P13" s="2">
        <f>N13*O13</f>
        <v>43.199999999999996</v>
      </c>
      <c r="Q13" s="2"/>
      <c r="R13" s="2"/>
      <c r="S13" s="3"/>
    </row>
    <row r="14" spans="12:19" ht="12.75">
      <c r="L14" s="159" t="s">
        <v>106</v>
      </c>
      <c r="M14" s="2"/>
      <c r="N14" s="2">
        <f>0.5*O10</f>
        <v>3</v>
      </c>
      <c r="O14" s="2">
        <f>1.7*O10</f>
        <v>10.2</v>
      </c>
      <c r="P14" s="2">
        <f>N14*O14</f>
        <v>30.599999999999998</v>
      </c>
      <c r="Q14" s="2"/>
      <c r="R14" s="2"/>
      <c r="S14" s="3"/>
    </row>
    <row r="15" spans="12:19" ht="12.75">
      <c r="L15" s="159" t="s">
        <v>107</v>
      </c>
      <c r="M15" s="2"/>
      <c r="N15" s="2">
        <f>1.3*O10</f>
        <v>7.800000000000001</v>
      </c>
      <c r="O15" s="2">
        <f>0.6*O10</f>
        <v>3.5999999999999996</v>
      </c>
      <c r="P15" s="2">
        <f>N15*O15</f>
        <v>28.08</v>
      </c>
      <c r="Q15" s="2">
        <f>SUM(P12:P15)</f>
        <v>163.44</v>
      </c>
      <c r="R15" s="2"/>
      <c r="S15" s="3"/>
    </row>
    <row r="16" spans="1:19" ht="12.75">
      <c r="A16" s="155" t="s">
        <v>298</v>
      </c>
      <c r="B16" s="155" t="s">
        <v>415</v>
      </c>
      <c r="C16" s="155"/>
      <c r="D16" s="149"/>
      <c r="E16" s="149"/>
      <c r="F16" s="149"/>
      <c r="L16" s="159"/>
      <c r="M16" s="2"/>
      <c r="N16" s="2"/>
      <c r="O16" s="2"/>
      <c r="P16" s="2"/>
      <c r="Q16" s="2"/>
      <c r="R16" s="2"/>
      <c r="S16" s="3"/>
    </row>
    <row r="17" spans="1:19" ht="12.75">
      <c r="A17" s="149"/>
      <c r="B17" s="149" t="s">
        <v>243</v>
      </c>
      <c r="C17" s="149"/>
      <c r="D17" s="149">
        <v>3</v>
      </c>
      <c r="E17" s="149" t="s">
        <v>127</v>
      </c>
      <c r="F17" s="149"/>
      <c r="L17" s="159" t="s">
        <v>108</v>
      </c>
      <c r="M17" s="2"/>
      <c r="N17" s="2">
        <f>2*O10</f>
        <v>12</v>
      </c>
      <c r="O17" s="2">
        <f>2.5*O10</f>
        <v>15</v>
      </c>
      <c r="P17" s="2">
        <f>N17*O17</f>
        <v>180</v>
      </c>
      <c r="Q17" s="2"/>
      <c r="R17" s="2"/>
      <c r="S17" s="3"/>
    </row>
    <row r="18" spans="1:19" ht="12.75">
      <c r="A18" s="149"/>
      <c r="B18" s="149"/>
      <c r="C18" s="149"/>
      <c r="D18" s="149">
        <v>5.5</v>
      </c>
      <c r="E18" s="149" t="s">
        <v>128</v>
      </c>
      <c r="F18" s="149"/>
      <c r="L18" s="159"/>
      <c r="M18" s="2"/>
      <c r="N18" s="2"/>
      <c r="O18" s="2"/>
      <c r="P18" s="2"/>
      <c r="Q18" s="2"/>
      <c r="R18" s="2"/>
      <c r="S18" s="3"/>
    </row>
    <row r="19" spans="1:19" ht="12.75">
      <c r="A19" s="149"/>
      <c r="B19" s="149"/>
      <c r="C19" s="149"/>
      <c r="D19" s="149">
        <v>12</v>
      </c>
      <c r="E19" s="149" t="s">
        <v>130</v>
      </c>
      <c r="F19" s="149"/>
      <c r="G19" s="151">
        <f>D17*D18</f>
        <v>16.5</v>
      </c>
      <c r="H19" s="151" t="s">
        <v>129</v>
      </c>
      <c r="L19" s="159"/>
      <c r="M19" s="2"/>
      <c r="N19" s="2"/>
      <c r="O19" s="2"/>
      <c r="P19" s="2"/>
      <c r="Q19" s="2"/>
      <c r="R19" s="2"/>
      <c r="S19" s="3"/>
    </row>
    <row r="20" spans="1:19" ht="12.75">
      <c r="A20" s="149"/>
      <c r="B20" s="149"/>
      <c r="C20" s="149"/>
      <c r="D20" s="149"/>
      <c r="E20" s="149"/>
      <c r="F20" s="149"/>
      <c r="G20" s="151">
        <f>G19*D19</f>
        <v>198</v>
      </c>
      <c r="H20" s="151" t="s">
        <v>131</v>
      </c>
      <c r="L20" s="159"/>
      <c r="M20" s="2"/>
      <c r="N20" s="2"/>
      <c r="O20" s="2"/>
      <c r="P20" s="2"/>
      <c r="Q20" s="2"/>
      <c r="R20" s="2"/>
      <c r="S20" s="3"/>
    </row>
    <row r="21" spans="1:19" ht="12.75">
      <c r="A21" s="149"/>
      <c r="B21" s="149"/>
      <c r="C21" s="149"/>
      <c r="D21" s="149" t="s">
        <v>244</v>
      </c>
      <c r="E21" s="149"/>
      <c r="F21" s="149"/>
      <c r="G21" s="151">
        <f>G20*2</f>
        <v>396</v>
      </c>
      <c r="H21" s="151" t="s">
        <v>31</v>
      </c>
      <c r="L21" s="161" t="s">
        <v>110</v>
      </c>
      <c r="M21" s="162"/>
      <c r="N21" s="162"/>
      <c r="O21" s="162">
        <v>12.5</v>
      </c>
      <c r="P21" s="162" t="s">
        <v>114</v>
      </c>
      <c r="Q21" s="162"/>
      <c r="R21" s="162"/>
      <c r="S21" s="4"/>
    </row>
    <row r="23" ht="12.75">
      <c r="I23" t="s">
        <v>245</v>
      </c>
    </row>
    <row r="24" spans="2:9" ht="12.75">
      <c r="B24" t="s">
        <v>99</v>
      </c>
      <c r="I24" t="s">
        <v>246</v>
      </c>
    </row>
    <row r="26" spans="2:8" ht="12.75">
      <c r="B26" t="s">
        <v>132</v>
      </c>
      <c r="F26" s="149">
        <v>25</v>
      </c>
      <c r="G26" s="149" t="s">
        <v>133</v>
      </c>
      <c r="H26" s="149" t="s">
        <v>134</v>
      </c>
    </row>
    <row r="27" spans="6:8" ht="12.75">
      <c r="F27" s="149">
        <v>25</v>
      </c>
      <c r="G27" s="149" t="s">
        <v>133</v>
      </c>
      <c r="H27" s="149" t="s">
        <v>135</v>
      </c>
    </row>
    <row r="29" spans="2:9" ht="12.75">
      <c r="B29" t="s">
        <v>100</v>
      </c>
      <c r="G29" s="151">
        <v>75</v>
      </c>
      <c r="H29" s="151" t="s">
        <v>133</v>
      </c>
      <c r="I29" s="151" t="s">
        <v>134</v>
      </c>
    </row>
    <row r="30" spans="2:9" ht="12.75">
      <c r="B30" t="s">
        <v>101</v>
      </c>
      <c r="G30" s="151">
        <f>F27+2*25</f>
        <v>75</v>
      </c>
      <c r="H30" s="151"/>
      <c r="I30" s="151" t="s">
        <v>135</v>
      </c>
    </row>
    <row r="32" spans="2:10" ht="12.75">
      <c r="B32" s="151" t="s">
        <v>418</v>
      </c>
      <c r="C32" s="151"/>
      <c r="D32" s="149" t="s">
        <v>429</v>
      </c>
      <c r="E32" s="163">
        <v>10000</v>
      </c>
      <c r="F32" s="149" t="s">
        <v>93</v>
      </c>
      <c r="G32" s="151">
        <f>G29*G30</f>
        <v>5625</v>
      </c>
      <c r="H32" s="151" t="s">
        <v>419</v>
      </c>
      <c r="I32" s="151"/>
      <c r="J32" t="s">
        <v>432</v>
      </c>
    </row>
    <row r="33" spans="2:9" ht="12.75">
      <c r="B33" s="151"/>
      <c r="C33" s="151"/>
      <c r="D33" s="149"/>
      <c r="E33" s="149"/>
      <c r="F33" s="149"/>
      <c r="G33" s="151"/>
      <c r="H33" s="151"/>
      <c r="I33" s="151"/>
    </row>
    <row r="34" spans="2:10" ht="12.75">
      <c r="B34" s="151" t="s">
        <v>420</v>
      </c>
      <c r="C34" s="151"/>
      <c r="D34" s="149" t="s">
        <v>430</v>
      </c>
      <c r="E34" s="163">
        <v>300</v>
      </c>
      <c r="F34" s="149" t="s">
        <v>138</v>
      </c>
      <c r="G34" s="151">
        <f>(G29+G30)*2</f>
        <v>300</v>
      </c>
      <c r="H34" s="151" t="s">
        <v>421</v>
      </c>
      <c r="I34" s="151"/>
      <c r="J34" t="s">
        <v>433</v>
      </c>
    </row>
    <row r="37" spans="1:2" ht="12.75">
      <c r="A37" s="21" t="s">
        <v>416</v>
      </c>
      <c r="B37" s="21" t="s">
        <v>437</v>
      </c>
    </row>
    <row r="40" spans="2:8" ht="12.75">
      <c r="B40" s="211" t="s">
        <v>175</v>
      </c>
      <c r="C40" s="149" t="s">
        <v>247</v>
      </c>
      <c r="D40" s="149"/>
      <c r="E40" s="149"/>
      <c r="F40" s="149">
        <v>35</v>
      </c>
      <c r="G40" s="149" t="s">
        <v>133</v>
      </c>
      <c r="H40" s="149" t="s">
        <v>134</v>
      </c>
    </row>
    <row r="41" spans="2:8" ht="12.75">
      <c r="B41" s="149"/>
      <c r="C41" s="149"/>
      <c r="D41" s="149"/>
      <c r="E41" s="149"/>
      <c r="F41" s="149">
        <v>45</v>
      </c>
      <c r="G41" s="149" t="s">
        <v>133</v>
      </c>
      <c r="H41" s="149" t="s">
        <v>135</v>
      </c>
    </row>
    <row r="42" spans="2:8" ht="12.75">
      <c r="B42" s="149"/>
      <c r="C42" s="149" t="s">
        <v>248</v>
      </c>
      <c r="D42" s="149"/>
      <c r="E42" s="149"/>
      <c r="F42" s="149">
        <v>5</v>
      </c>
      <c r="G42" s="149" t="s">
        <v>133</v>
      </c>
      <c r="H42" s="149" t="s">
        <v>134</v>
      </c>
    </row>
    <row r="43" spans="2:8" ht="12.75">
      <c r="B43" s="149"/>
      <c r="C43" s="149"/>
      <c r="D43" s="149"/>
      <c r="E43" s="149"/>
      <c r="F43" s="149">
        <v>10</v>
      </c>
      <c r="G43" s="149" t="s">
        <v>133</v>
      </c>
      <c r="H43" s="149" t="s">
        <v>135</v>
      </c>
    </row>
    <row r="44" spans="2:8" ht="12.75">
      <c r="B44" s="149" t="s">
        <v>440</v>
      </c>
      <c r="C44" s="149"/>
      <c r="D44" s="149" t="s">
        <v>439</v>
      </c>
      <c r="E44" s="163">
        <v>150</v>
      </c>
      <c r="F44" s="149" t="s">
        <v>94</v>
      </c>
      <c r="G44" s="151">
        <f>F40*F41+F42*F43</f>
        <v>1625</v>
      </c>
      <c r="H44" s="151" t="s">
        <v>136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H14" sqref="H14"/>
    </sheetView>
  </sheetViews>
  <sheetFormatPr defaultColWidth="9.140625" defaultRowHeight="12.75"/>
  <cols>
    <col min="1" max="1" width="16.28125" style="0" customWidth="1"/>
    <col min="8" max="8" width="10.140625" style="0" bestFit="1" customWidth="1"/>
  </cols>
  <sheetData>
    <row r="1" ht="18">
      <c r="A1" s="101" t="s">
        <v>287</v>
      </c>
    </row>
    <row r="4" spans="1:20" s="2" customFormat="1" ht="12.75">
      <c r="A4" s="104"/>
      <c r="C4" s="6"/>
      <c r="D4" s="45"/>
      <c r="E4" s="45"/>
      <c r="F4" s="45"/>
      <c r="G4" s="45"/>
      <c r="H4" s="45"/>
      <c r="I4" s="45"/>
      <c r="J4" s="45"/>
      <c r="K4" s="6"/>
      <c r="L4" s="6"/>
      <c r="M4" s="6"/>
      <c r="P4"/>
      <c r="Q4"/>
      <c r="R4"/>
      <c r="S4"/>
      <c r="T4"/>
    </row>
    <row r="5" spans="1:20" s="2" customFormat="1" ht="12.75">
      <c r="A5" s="154" t="s">
        <v>275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P5"/>
      <c r="Q5"/>
      <c r="R5"/>
      <c r="S5"/>
      <c r="T5"/>
    </row>
    <row r="6" spans="1:20" s="2" customFormat="1" ht="12.75">
      <c r="A6" s="145"/>
      <c r="B6" s="134" t="s">
        <v>194</v>
      </c>
      <c r="C6" s="145"/>
      <c r="D6" s="145"/>
      <c r="E6" s="145"/>
      <c r="F6" s="145"/>
      <c r="G6" s="145"/>
      <c r="H6" s="146">
        <v>600000</v>
      </c>
      <c r="I6" s="134" t="s">
        <v>201</v>
      </c>
      <c r="J6" s="139"/>
      <c r="K6" s="152">
        <f>H6/'Summary Data Centre'!N1</f>
        <v>396301.1889035667</v>
      </c>
      <c r="P6"/>
      <c r="Q6"/>
      <c r="R6"/>
      <c r="S6"/>
      <c r="T6"/>
    </row>
    <row r="7" spans="2:3" s="2" customFormat="1" ht="12.75">
      <c r="B7" s="2" t="s">
        <v>273</v>
      </c>
      <c r="C7" s="80" t="s">
        <v>11</v>
      </c>
    </row>
    <row r="8" s="2" customFormat="1" ht="12.75"/>
    <row r="9" s="2" customFormat="1" ht="12.75">
      <c r="B9" s="80" t="s">
        <v>200</v>
      </c>
    </row>
    <row r="10" s="2" customFormat="1" ht="12.75"/>
    <row r="12" spans="1:8" ht="12.75">
      <c r="A12" s="155" t="s">
        <v>276</v>
      </c>
      <c r="B12" s="149">
        <v>4</v>
      </c>
      <c r="C12" s="149" t="s">
        <v>277</v>
      </c>
      <c r="D12" s="149"/>
      <c r="E12" s="149"/>
      <c r="F12" s="149"/>
      <c r="G12" s="149"/>
      <c r="H12" s="149"/>
    </row>
    <row r="13" spans="1:8" ht="12.75">
      <c r="A13" s="149"/>
      <c r="B13" s="149">
        <v>1</v>
      </c>
      <c r="C13" s="149" t="s">
        <v>278</v>
      </c>
      <c r="D13" s="149"/>
      <c r="E13" s="149"/>
      <c r="F13" s="149"/>
      <c r="G13" s="149"/>
      <c r="H13" s="149"/>
    </row>
    <row r="14" spans="1:8" ht="12.75">
      <c r="A14" s="151"/>
      <c r="B14" s="151">
        <f>B12+B13</f>
        <v>5</v>
      </c>
      <c r="C14" s="151" t="s">
        <v>281</v>
      </c>
      <c r="D14" s="151"/>
      <c r="E14" s="150">
        <v>2000</v>
      </c>
      <c r="F14" s="149" t="s">
        <v>89</v>
      </c>
      <c r="G14" s="151"/>
      <c r="H14" s="153">
        <f>E14*B14/'Summary Data Centre'!N1</f>
        <v>6605.019815059445</v>
      </c>
    </row>
    <row r="16" spans="1:2" ht="12.75">
      <c r="A16" t="s">
        <v>280</v>
      </c>
      <c r="B16" s="147" t="s">
        <v>279</v>
      </c>
    </row>
    <row r="20" ht="12.75">
      <c r="A20" s="21" t="s">
        <v>286</v>
      </c>
    </row>
    <row r="22" spans="1:8" ht="15" customHeight="1">
      <c r="A22" s="136" t="s">
        <v>288</v>
      </c>
      <c r="B22" s="134" t="s">
        <v>289</v>
      </c>
      <c r="C22" s="149"/>
      <c r="D22" s="150">
        <v>39500</v>
      </c>
      <c r="E22" s="149"/>
      <c r="F22" s="149"/>
      <c r="G22" s="149"/>
      <c r="H22" s="149"/>
    </row>
    <row r="23" spans="1:8" ht="12.75">
      <c r="A23" s="149"/>
      <c r="B23" s="156" t="s">
        <v>290</v>
      </c>
      <c r="C23" s="149"/>
      <c r="D23" s="150">
        <v>32000</v>
      </c>
      <c r="E23" s="149"/>
      <c r="F23" s="149"/>
      <c r="G23" s="149"/>
      <c r="H23" s="149"/>
    </row>
    <row r="24" spans="1:8" ht="12.75">
      <c r="A24" s="149" t="s">
        <v>291</v>
      </c>
      <c r="B24" s="149"/>
      <c r="C24" s="149"/>
      <c r="D24" s="150">
        <v>40000</v>
      </c>
      <c r="E24" s="149"/>
      <c r="F24" s="151"/>
      <c r="G24" s="153">
        <f>D24/'Summary Data Centre'!N1</f>
        <v>26420.07926023778</v>
      </c>
      <c r="H24" s="151"/>
    </row>
  </sheetData>
  <hyperlinks>
    <hyperlink ref="B16" r:id="rId1" display="http://www.canadianblower.com/axialfan/index.html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5">
      <selection activeCell="A1" sqref="A1"/>
    </sheetView>
  </sheetViews>
  <sheetFormatPr defaultColWidth="9.140625" defaultRowHeight="12.75"/>
  <cols>
    <col min="1" max="1" width="22.8515625" style="0" customWidth="1"/>
    <col min="2" max="3" width="12.8515625" style="0" customWidth="1"/>
    <col min="6" max="6" width="11.421875" style="0" customWidth="1"/>
  </cols>
  <sheetData>
    <row r="1" ht="18">
      <c r="A1" s="101" t="s">
        <v>60</v>
      </c>
    </row>
    <row r="3" spans="1:6" s="79" customFormat="1" ht="12.75">
      <c r="A3" s="127" t="s">
        <v>7</v>
      </c>
      <c r="B3" s="128"/>
      <c r="C3" s="128"/>
      <c r="D3" s="128"/>
      <c r="E3" s="128"/>
      <c r="F3" s="129" t="s">
        <v>9</v>
      </c>
    </row>
    <row r="4" spans="1:6" ht="12.75">
      <c r="A4" s="130" t="s">
        <v>2</v>
      </c>
      <c r="B4" s="131"/>
      <c r="C4" s="131"/>
      <c r="D4" s="131"/>
      <c r="E4" s="131"/>
      <c r="F4" s="132"/>
    </row>
    <row r="5" spans="1:6" ht="12.75">
      <c r="A5" s="133" t="s">
        <v>5</v>
      </c>
      <c r="B5" s="139">
        <v>250</v>
      </c>
      <c r="C5" s="134" t="s">
        <v>41</v>
      </c>
      <c r="D5" s="135">
        <v>5000</v>
      </c>
      <c r="E5" s="136" t="s">
        <v>88</v>
      </c>
      <c r="F5" s="137">
        <f>B5*D5</f>
        <v>1250000</v>
      </c>
    </row>
    <row r="6" spans="1:6" ht="12.75">
      <c r="A6" s="133"/>
      <c r="B6" s="138"/>
      <c r="C6" s="139"/>
      <c r="D6" s="138"/>
      <c r="E6" s="138"/>
      <c r="F6" s="140"/>
    </row>
    <row r="7" spans="1:6" ht="12.75">
      <c r="A7" s="133" t="s">
        <v>271</v>
      </c>
      <c r="B7" s="138"/>
      <c r="C7" s="138"/>
      <c r="D7" s="138"/>
      <c r="E7" s="138"/>
      <c r="F7" s="140"/>
    </row>
    <row r="8" spans="1:6" ht="12.75">
      <c r="A8" s="141"/>
      <c r="B8" s="142"/>
      <c r="C8" s="142"/>
      <c r="D8" s="142"/>
      <c r="E8" s="142"/>
      <c r="F8" s="143"/>
    </row>
    <row r="10" ht="15.75">
      <c r="A10" s="126" t="s">
        <v>270</v>
      </c>
    </row>
    <row r="11" spans="1:2" ht="25.5" customHeight="1">
      <c r="A11" s="269" t="s">
        <v>12</v>
      </c>
      <c r="B11" s="269"/>
    </row>
    <row r="12" spans="1:7" ht="26.25" customHeight="1">
      <c r="A12" s="268" t="s">
        <v>266</v>
      </c>
      <c r="B12" s="268"/>
      <c r="C12" s="268"/>
      <c r="D12" s="111">
        <f>2.8/'Summary Data Centre'!N2</f>
        <v>2.5266197437285687</v>
      </c>
      <c r="E12" s="86" t="s">
        <v>267</v>
      </c>
      <c r="F12" s="44">
        <f>H20</f>
        <v>95</v>
      </c>
      <c r="G12" s="86" t="s">
        <v>268</v>
      </c>
    </row>
    <row r="14" spans="4:11" ht="12.75">
      <c r="D14" s="113" t="s">
        <v>32</v>
      </c>
      <c r="E14" s="114"/>
      <c r="F14" s="114"/>
      <c r="G14" s="114"/>
      <c r="H14" s="114"/>
      <c r="I14" s="114"/>
      <c r="J14" s="114"/>
      <c r="K14" s="115"/>
    </row>
    <row r="15" spans="4:11" ht="12.75">
      <c r="D15" s="116" t="s">
        <v>34</v>
      </c>
      <c r="E15" s="117">
        <v>2000</v>
      </c>
      <c r="F15" s="118">
        <v>0.9</v>
      </c>
      <c r="G15" s="117">
        <f>F15*E15</f>
        <v>1800</v>
      </c>
      <c r="H15" s="117"/>
      <c r="I15" s="117"/>
      <c r="J15" s="117"/>
      <c r="K15" s="119"/>
    </row>
    <row r="16" spans="4:11" ht="12.75">
      <c r="D16" s="116" t="s">
        <v>36</v>
      </c>
      <c r="E16" s="117">
        <v>71500</v>
      </c>
      <c r="F16" s="118">
        <v>0.1</v>
      </c>
      <c r="G16" s="117">
        <f>F16*E16</f>
        <v>7150</v>
      </c>
      <c r="H16" s="117"/>
      <c r="I16" s="117"/>
      <c r="J16" s="117"/>
      <c r="K16" s="119"/>
    </row>
    <row r="17" spans="4:11" ht="12.75">
      <c r="D17" s="116"/>
      <c r="E17" s="117"/>
      <c r="F17" s="117"/>
      <c r="G17" s="117">
        <f>G15+G16</f>
        <v>8950</v>
      </c>
      <c r="H17" s="117" t="s">
        <v>38</v>
      </c>
      <c r="I17" s="117"/>
      <c r="J17" s="117"/>
      <c r="K17" s="119"/>
    </row>
    <row r="18" spans="4:11" ht="12.75">
      <c r="D18" s="116"/>
      <c r="E18" s="117"/>
      <c r="F18" s="117"/>
      <c r="G18" s="120">
        <f>G17/(365*24)</f>
        <v>1.0216894977168949</v>
      </c>
      <c r="H18" s="117" t="s">
        <v>39</v>
      </c>
      <c r="I18" s="117"/>
      <c r="J18" s="117"/>
      <c r="K18" s="119"/>
    </row>
    <row r="19" spans="4:11" ht="12.75">
      <c r="D19" s="116"/>
      <c r="E19" s="117"/>
      <c r="F19" s="117"/>
      <c r="G19" s="117"/>
      <c r="H19" s="117"/>
      <c r="I19" s="117"/>
      <c r="J19" s="117"/>
      <c r="K19" s="119"/>
    </row>
    <row r="20" spans="4:11" ht="12.75">
      <c r="D20" s="116" t="s">
        <v>84</v>
      </c>
      <c r="E20" s="117"/>
      <c r="F20" s="117"/>
      <c r="G20" s="117"/>
      <c r="H20" s="117">
        <v>95</v>
      </c>
      <c r="I20" s="117" t="s">
        <v>82</v>
      </c>
      <c r="J20" s="117">
        <v>190</v>
      </c>
      <c r="K20" s="119" t="s">
        <v>83</v>
      </c>
    </row>
    <row r="21" spans="4:13" ht="12.75">
      <c r="D21" s="116" t="s">
        <v>44</v>
      </c>
      <c r="E21" s="117"/>
      <c r="F21" s="117"/>
      <c r="G21" s="117"/>
      <c r="H21" s="120">
        <f>'Iceland study'!C48/(H20*'Summary Data Centre'!N2)/1000</f>
        <v>26.539005879615118</v>
      </c>
      <c r="I21" s="117" t="s">
        <v>85</v>
      </c>
      <c r="J21" s="117"/>
      <c r="K21" s="119"/>
      <c r="L21" s="112" t="s">
        <v>61</v>
      </c>
      <c r="M21" s="112"/>
    </row>
    <row r="22" spans="4:11" ht="12.75">
      <c r="D22" s="121"/>
      <c r="E22" s="122"/>
      <c r="F22" s="122"/>
      <c r="G22" s="123"/>
      <c r="H22" s="124">
        <f>'Iceland study'!J48/('Summary Data Centre'!N2*J20)/1000</f>
        <v>25.741125960542938</v>
      </c>
      <c r="I22" s="122" t="s">
        <v>86</v>
      </c>
      <c r="J22" s="122"/>
      <c r="K22" s="125"/>
    </row>
    <row r="24" ht="12.75">
      <c r="A24" s="21" t="s">
        <v>269</v>
      </c>
    </row>
    <row r="25" spans="1:3" ht="30" customHeight="1">
      <c r="A25" s="267" t="s">
        <v>137</v>
      </c>
      <c r="B25" s="267"/>
      <c r="C25" s="267"/>
    </row>
    <row r="28" spans="1:6" ht="12.75">
      <c r="A28" t="s">
        <v>62</v>
      </c>
      <c r="B28" t="s">
        <v>152</v>
      </c>
      <c r="C28" t="s">
        <v>155</v>
      </c>
      <c r="D28" t="s">
        <v>153</v>
      </c>
      <c r="E28" t="s">
        <v>157</v>
      </c>
      <c r="F28" t="s">
        <v>154</v>
      </c>
    </row>
    <row r="29" spans="1:6" ht="12.75">
      <c r="A29" t="s">
        <v>63</v>
      </c>
      <c r="B29" t="s">
        <v>64</v>
      </c>
      <c r="C29" t="s">
        <v>156</v>
      </c>
      <c r="D29">
        <v>870</v>
      </c>
      <c r="E29">
        <v>1049</v>
      </c>
      <c r="F29" s="52">
        <f>E29*1000/D29</f>
        <v>1205.7471264367816</v>
      </c>
    </row>
    <row r="30" spans="1:6" ht="12.75">
      <c r="A30" t="s">
        <v>158</v>
      </c>
      <c r="B30" t="s">
        <v>82</v>
      </c>
      <c r="C30" t="s">
        <v>159</v>
      </c>
      <c r="D30">
        <v>400</v>
      </c>
      <c r="E30">
        <v>419</v>
      </c>
      <c r="F30" s="52">
        <f>E30*1000/D30</f>
        <v>1047.5</v>
      </c>
    </row>
    <row r="31" spans="1:7" ht="12.75">
      <c r="A31" t="s">
        <v>162</v>
      </c>
      <c r="B31" t="s">
        <v>160</v>
      </c>
      <c r="C31" t="s">
        <v>161</v>
      </c>
      <c r="D31">
        <f>3*2360</f>
        <v>7080</v>
      </c>
      <c r="E31">
        <f>8*6957+5000</f>
        <v>60656</v>
      </c>
      <c r="F31" s="52">
        <f>E31*1000/D31</f>
        <v>8567.23163841808</v>
      </c>
      <c r="G31" t="s">
        <v>163</v>
      </c>
    </row>
    <row r="32" spans="1:7" ht="12.75">
      <c r="A32" t="s">
        <v>164</v>
      </c>
      <c r="B32" t="s">
        <v>160</v>
      </c>
      <c r="C32" t="s">
        <v>165</v>
      </c>
      <c r="D32" s="53">
        <f>D31/8</f>
        <v>885</v>
      </c>
      <c r="E32">
        <v>7000</v>
      </c>
      <c r="F32" s="52">
        <f>E32*1000/D32</f>
        <v>7909.604519774011</v>
      </c>
      <c r="G32" t="s">
        <v>166</v>
      </c>
    </row>
    <row r="33" spans="1:7" ht="12.75">
      <c r="A33" t="s">
        <v>167</v>
      </c>
      <c r="B33" t="s">
        <v>160</v>
      </c>
      <c r="C33" t="s">
        <v>165</v>
      </c>
      <c r="D33">
        <v>2000</v>
      </c>
      <c r="E33">
        <v>10000</v>
      </c>
      <c r="F33" s="52">
        <f>E33*1000/D33</f>
        <v>5000</v>
      </c>
      <c r="G33" t="s">
        <v>168</v>
      </c>
    </row>
    <row r="35" ht="12.75">
      <c r="A35" t="s">
        <v>169</v>
      </c>
    </row>
    <row r="38" spans="1:2" ht="38.25">
      <c r="A38" s="86" t="s">
        <v>1</v>
      </c>
      <c r="B38" s="6" t="s">
        <v>87</v>
      </c>
    </row>
  </sheetData>
  <mergeCells count="3">
    <mergeCell ref="A25:C25"/>
    <mergeCell ref="A12:C12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Svehla</dc:creator>
  <cp:keywords/>
  <dc:description/>
  <cp:lastModifiedBy>Kati Svehla</cp:lastModifiedBy>
  <cp:lastPrinted>2010-04-25T11:06:22Z</cp:lastPrinted>
  <dcterms:created xsi:type="dcterms:W3CDTF">2010-03-23T13:36:21Z</dcterms:created>
  <dcterms:modified xsi:type="dcterms:W3CDTF">2010-05-14T16:23:37Z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